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17" sheetId="9" r:id="rId9"/>
    <sheet name="грудень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<sst xmlns="http://schemas.openxmlformats.org/spreadsheetml/2006/main" count="1529" uniqueCount="244">
  <si>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</si>
  <si>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</si>
  <si>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</si>
  <si>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</si>
  <si>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</si>
  <si>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</si>
  <si>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</si>
  <si>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</si>
  <si>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</si>
  <si>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</si>
  <si>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</si>
  <si>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</si>
  <si>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</si>
  <si>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</si>
  <si>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</si>
  <si>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</si>
  <si>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</si>
  <si>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</si>
  <si>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</si>
  <si>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</si>
  <si>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</si>
  <si>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</si>
  <si>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</si>
  <si>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</si>
  <si>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</si>
  <si>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</si>
  <si>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</si>
  <si>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</si>
  <si>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</si>
  <si>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</si>
  <si>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</si>
  <si>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</si>
  <si>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</si>
  <si>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</si>
  <si>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</si>
  <si>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</si>
  <si>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</si>
  <si>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</si>
  <si>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</si>
  <si>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</si>
  <si>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</si>
  <si>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</si>
  <si>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</si>
  <si>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</si>
  <si>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</si>
  <si>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</si>
  <si>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</si>
  <si>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</si>
  <si>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</si>
  <si>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</si>
  <si>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</si>
  <si>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</si>
  <si>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</si>
  <si>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</si>
  <si>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</si>
  <si>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</si>
  <si>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</si>
  <si>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</si>
  <si>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</si>
  <si>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</si>
  <si>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</si>
  <si>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</si>
  <si>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</si>
  <si>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</si>
  <si>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</si>
  <si>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</si>
  <si>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</si>
  <si>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</si>
  <si>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</si>
  <si>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</si>
  <si>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</si>
  <si>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</si>
  <si>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</si>
  <si>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</si>
  <si>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</si>
  <si>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</si>
  <si>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</si>
  <si>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</si>
  <si>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</si>
  <si>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</si>
  <si>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</si>
  <si>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</si>
  <si>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</si>
  <si>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</si>
  <si>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</si>
  <si>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</si>
  <si>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</si>
  <si>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</si>
  <si>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</si>
  <si>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</si>
  <si>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</si>
  <si>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</si>
  <si>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</si>
  <si>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</si>
  <si>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</si>
  <si>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</si>
  <si>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</si>
  <si>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</si>
  <si>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</si>
  <si>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</si>
  <si>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</si>
  <si>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</si>
  <si>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</si>
  <si>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</si>
  <si>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</si>
  <si>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</si>
  <si>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</si>
  <si>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</si>
  <si>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</si>
  <si>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</si>
  <si>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</si>
  <si>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</si>
  <si>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</si>
  <si>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</si>
  <si>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</si>
  <si>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</si>
  <si>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</si>
  <si>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</si>
  <si>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</si>
  <si>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</si>
  <si>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</si>
  <si>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</si>
  <si>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</si>
  <si>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</si>
  <si>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</si>
  <si>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</si>
  <si>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</si>
  <si>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</si>
  <si>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</si>
  <si>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</si>
  <si>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</si>
  <si>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</si>
  <si>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</si>
  <si>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</si>
  <si>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</si>
  <si>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</si>
  <si>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</si>
  <si>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</si>
  <si>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</si>
  <si>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</si>
  <si>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</si>
  <si>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</si>
  <si>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</si>
  <si>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</si>
  <si>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</si>
  <si>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</si>
  <si>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</si>
  <si>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</si>
  <si>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</si>
  <si>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</si>
  <si>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</si>
  <si>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</si>
  <si>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</si>
  <si>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</si>
  <si>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</si>
  <si>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</si>
  <si>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</si>
  <si>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</si>
  <si>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</si>
  <si>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</si>
  <si>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</si>
  <si>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</si>
  <si>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</si>
  <si>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</si>
  <si>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</si>
  <si>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</si>
  <si>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</si>
  <si>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</si>
  <si>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</si>
  <si>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</si>
  <si>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</si>
  <si>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</si>
  <si>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</si>
  <si>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</si>
  <si>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</si>
  <si>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</si>
  <si>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</si>
  <si>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</si>
  <si>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</si>
  <si>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</si>
  <si>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</si>
  <si>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</si>
  <si>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</si>
  <si>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</si>
  <si>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</si>
  <si>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</si>
  <si>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</si>
  <si>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</si>
  <si>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</si>
  <si>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</si>
  <si>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</si>
  <si>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</si>
  <si>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</si>
  <si>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</si>
  <si>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</si>
  <si>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</si>
  <si>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</si>
  <si>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</si>
  <si>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</si>
  <si>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</si>
  <si>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</si>
  <si>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</si>
  <si>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</si>
  <si>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</si>
  <si>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</si>
  <si>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</si>
  <si>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</si>
  <si>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</si>
  <si>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</si>
  <si>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</si>
  <si>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</si>
  <si>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</si>
  <si>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</si>
  <si>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</si>
  <si>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</si>
  <si>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</si>
  <si>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</si>
  <si>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</si>
  <si>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</si>
  <si>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</si>
  <si>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</si>
  <si>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</si>
  <si>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</si>
  <si>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</si>
  <si>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</si>
  <si>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</si>
  <si>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</si>
  <si>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</si>
  <si>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</si>
  <si>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</si>
  <si>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</si>
  <si>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</si>
  <si>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</si>
  <si>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</si>
  <si>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</si>
  <si>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</si>
  <si>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</si>
  <si>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</si>
  <si>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</si>
  <si>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</si>
  <si>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</si>
  <si>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</si>
  <si>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</si>
  <si>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06.09.17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</si>
</sst>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5" t="s">
        <v>242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239</v>
      </c>
      <c r="O3" s="346" t="s">
        <v>241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236</v>
      </c>
      <c r="F4" s="329" t="s">
        <v>33</v>
      </c>
      <c r="G4" s="320" t="s">
        <v>237</v>
      </c>
      <c r="H4" s="331" t="s">
        <v>238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243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240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853248.04</v>
      </c>
      <c r="G8" s="151">
        <f>F8-E8</f>
        <v>-93383.55999999994</v>
      </c>
      <c r="H8" s="152">
        <f>F8/E8*100</f>
        <v>90.13517402123487</v>
      </c>
      <c r="I8" s="153">
        <f aca="true" t="shared" si="0" ref="I8:I15">F8-D8</f>
        <v>-445203.06000000006</v>
      </c>
      <c r="J8" s="153">
        <f aca="true" t="shared" si="1" ref="J8:J15">F8/D8*100</f>
        <v>65.71275884012883</v>
      </c>
      <c r="K8" s="151">
        <v>708038.65</v>
      </c>
      <c r="L8" s="151">
        <f aca="true" t="shared" si="2" ref="L8:L25">F8-K8</f>
        <v>145209.39</v>
      </c>
      <c r="M8" s="205">
        <f aca="true" t="shared" si="3" ref="M8:M20">F8/K8</f>
        <v>1.205086812704363</v>
      </c>
      <c r="N8" s="151">
        <f>N9+N15+N18+N19+N23+N17</f>
        <v>100820.39999999997</v>
      </c>
      <c r="O8" s="151">
        <f>O9+O15+O18+O19+O23+O17</f>
        <v>15174.559999999925</v>
      </c>
      <c r="P8" s="151">
        <f>O8-N8</f>
        <v>-85645.84000000004</v>
      </c>
      <c r="Q8" s="151">
        <f aca="true" t="shared" si="4" ref="Q8:Q16">O8/N8*100</f>
        <v>15.051080932033528</v>
      </c>
      <c r="R8" s="15">
        <f>R9+R15+R18+R19+R23</f>
        <v>102514</v>
      </c>
      <c r="S8" s="15">
        <f>O8-R8</f>
        <v>-87339.44000000008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494796.12</v>
      </c>
      <c r="G9" s="150">
        <f>F9-E9</f>
        <v>-52343.880000000005</v>
      </c>
      <c r="H9" s="157">
        <f>F9/E9*100</f>
        <v>90.43318346309903</v>
      </c>
      <c r="I9" s="158">
        <f t="shared" si="0"/>
        <v>-271848.88</v>
      </c>
      <c r="J9" s="158">
        <f t="shared" si="1"/>
        <v>64.54044831701765</v>
      </c>
      <c r="K9" s="227">
        <v>385326.41</v>
      </c>
      <c r="L9" s="159">
        <f t="shared" si="2"/>
        <v>109469.71000000002</v>
      </c>
      <c r="M9" s="206">
        <f t="shared" si="3"/>
        <v>1.2840960472966283</v>
      </c>
      <c r="N9" s="157">
        <f>E9-серпень!E9</f>
        <v>65900</v>
      </c>
      <c r="O9" s="160">
        <f>F9-серпень!F9</f>
        <v>10015.839999999967</v>
      </c>
      <c r="P9" s="161">
        <f>O9-N9</f>
        <v>-55884.16000000003</v>
      </c>
      <c r="Q9" s="158">
        <f t="shared" si="4"/>
        <v>15.198543247344412</v>
      </c>
      <c r="R9" s="100">
        <v>71000</v>
      </c>
      <c r="S9" s="100">
        <f>O9-R9</f>
        <v>-60984.16000000003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453477.18</v>
      </c>
      <c r="G10" s="103">
        <f aca="true" t="shared" si="5" ref="G10:G35">F10-E10</f>
        <v>-44828.82000000001</v>
      </c>
      <c r="H10" s="105">
        <f aca="true" t="shared" si="6" ref="H10:H15">F10/E10*100</f>
        <v>91.00375672779376</v>
      </c>
      <c r="I10" s="104">
        <f t="shared" si="0"/>
        <v>-247839.82</v>
      </c>
      <c r="J10" s="104">
        <f t="shared" si="1"/>
        <v>64.66079960987685</v>
      </c>
      <c r="K10" s="106">
        <v>339269.05</v>
      </c>
      <c r="L10" s="106">
        <f t="shared" si="2"/>
        <v>114208.13</v>
      </c>
      <c r="M10" s="207">
        <f t="shared" si="3"/>
        <v>1.336629969636193</v>
      </c>
      <c r="N10" s="105">
        <f>E10-серпень!E10</f>
        <v>60404</v>
      </c>
      <c r="O10" s="144">
        <f>F10-серпень!F10</f>
        <v>9699.649999999965</v>
      </c>
      <c r="P10" s="106">
        <f aca="true" t="shared" si="7" ref="P10:P40">O10-N10</f>
        <v>-50704.350000000035</v>
      </c>
      <c r="Q10" s="104">
        <f t="shared" si="4"/>
        <v>16.057959737765653</v>
      </c>
      <c r="R10" s="37"/>
      <c r="S10" s="100" t="e">
        <f>#N/A</f>
        <v>#N/A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26171.09</v>
      </c>
      <c r="G11" s="103">
        <f t="shared" si="5"/>
        <v>-8028.91</v>
      </c>
      <c r="H11" s="105">
        <f t="shared" si="6"/>
        <v>76.52365497076023</v>
      </c>
      <c r="I11" s="104">
        <f t="shared" si="0"/>
        <v>-20334.91</v>
      </c>
      <c r="J11" s="104">
        <f t="shared" si="1"/>
        <v>56.27465273298069</v>
      </c>
      <c r="K11" s="106">
        <v>28497.47</v>
      </c>
      <c r="L11" s="106">
        <f t="shared" si="2"/>
        <v>-2326.380000000001</v>
      </c>
      <c r="M11" s="207">
        <f t="shared" si="3"/>
        <v>0.9183653847166081</v>
      </c>
      <c r="N11" s="105">
        <f>E11-серпень!E11</f>
        <v>4020</v>
      </c>
      <c r="O11" s="144">
        <f>F11-серпень!F11</f>
        <v>1.5499999999992724</v>
      </c>
      <c r="P11" s="106">
        <f t="shared" si="7"/>
        <v>-4018.4500000000007</v>
      </c>
      <c r="Q11" s="104">
        <f t="shared" si="4"/>
        <v>0.03855721393033016</v>
      </c>
      <c r="R11" s="37"/>
      <c r="S11" s="100" t="e">
        <f>#N/A</f>
        <v>#N/A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6819.3</v>
      </c>
      <c r="G12" s="103">
        <f t="shared" si="5"/>
        <v>639.3000000000002</v>
      </c>
      <c r="H12" s="105">
        <f t="shared" si="6"/>
        <v>110.34466019417476</v>
      </c>
      <c r="I12" s="104">
        <f t="shared" si="0"/>
        <v>-1460.6999999999998</v>
      </c>
      <c r="J12" s="104">
        <f t="shared" si="1"/>
        <v>82.35869565217392</v>
      </c>
      <c r="K12" s="106">
        <v>7409.72</v>
      </c>
      <c r="L12" s="106">
        <f t="shared" si="2"/>
        <v>-590.4200000000001</v>
      </c>
      <c r="M12" s="207">
        <f t="shared" si="3"/>
        <v>0.9203181766652451</v>
      </c>
      <c r="N12" s="105">
        <f>E12-серпень!E12</f>
        <v>900</v>
      </c>
      <c r="O12" s="144">
        <f>F12-серпень!F12</f>
        <v>191.02000000000044</v>
      </c>
      <c r="P12" s="106">
        <f t="shared" si="7"/>
        <v>-708.9799999999996</v>
      </c>
      <c r="Q12" s="104">
        <f t="shared" si="4"/>
        <v>21.224444444444494</v>
      </c>
      <c r="R12" s="37"/>
      <c r="S12" s="100" t="e">
        <f>#N/A</f>
        <v>#N/A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7373.67</v>
      </c>
      <c r="G13" s="103">
        <f t="shared" si="5"/>
        <v>-216.32999999999993</v>
      </c>
      <c r="H13" s="105">
        <f t="shared" si="6"/>
        <v>97.14980237154151</v>
      </c>
      <c r="I13" s="104">
        <f t="shared" si="0"/>
        <v>-2016.33</v>
      </c>
      <c r="J13" s="104">
        <f t="shared" si="1"/>
        <v>78.52683706070287</v>
      </c>
      <c r="K13" s="106">
        <v>7511.25</v>
      </c>
      <c r="L13" s="106">
        <f t="shared" si="2"/>
        <v>-137.57999999999993</v>
      </c>
      <c r="M13" s="207">
        <f t="shared" si="3"/>
        <v>0.9816834747878183</v>
      </c>
      <c r="N13" s="105">
        <f>E13-серпень!E13</f>
        <v>480</v>
      </c>
      <c r="O13" s="144">
        <f>F13-серпень!F13</f>
        <v>98.21000000000004</v>
      </c>
      <c r="P13" s="106">
        <f t="shared" si="7"/>
        <v>-381.78999999999996</v>
      </c>
      <c r="Q13" s="104">
        <f t="shared" si="4"/>
        <v>20.460416666666674</v>
      </c>
      <c r="R13" s="37"/>
      <c r="S13" s="100" t="e">
        <f>#N/A</f>
        <v>#N/A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954.88</v>
      </c>
      <c r="G14" s="103">
        <f t="shared" si="5"/>
        <v>90.88</v>
      </c>
      <c r="H14" s="105">
        <f t="shared" si="6"/>
        <v>110.51851851851853</v>
      </c>
      <c r="I14" s="104">
        <f t="shared" si="0"/>
        <v>-197.12</v>
      </c>
      <c r="J14" s="104">
        <f t="shared" si="1"/>
        <v>82.88888888888889</v>
      </c>
      <c r="K14" s="106">
        <v>2638.91</v>
      </c>
      <c r="L14" s="106">
        <f t="shared" si="2"/>
        <v>-1684.0299999999997</v>
      </c>
      <c r="M14" s="207">
        <f t="shared" si="3"/>
        <v>0.36184636838694767</v>
      </c>
      <c r="N14" s="105">
        <f>E14-серпень!E14</f>
        <v>96</v>
      </c>
      <c r="O14" s="144">
        <f>F14-серпень!F14</f>
        <v>25.409999999999968</v>
      </c>
      <c r="P14" s="106">
        <f t="shared" si="7"/>
        <v>-70.59000000000003</v>
      </c>
      <c r="Q14" s="104">
        <f t="shared" si="4"/>
        <v>26.468749999999968</v>
      </c>
      <c r="R14" s="37"/>
      <c r="S14" s="100" t="e">
        <f>#N/A</f>
        <v>#N/A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386.82</v>
      </c>
      <c r="L15" s="161">
        <f t="shared" si="2"/>
        <v>-61.00999999999999</v>
      </c>
      <c r="M15" s="208">
        <f t="shared" si="3"/>
        <v>0.842278062147769</v>
      </c>
      <c r="N15" s="157">
        <f>E15-серпень!E15</f>
        <v>0</v>
      </c>
      <c r="O15" s="160">
        <f>F15-серпень!F15</f>
        <v>0</v>
      </c>
      <c r="P15" s="161">
        <f t="shared" si="7"/>
        <v>0</v>
      </c>
      <c r="Q15" s="158" t="e">
        <f t="shared" si="4"/>
        <v>#DIV/0!</v>
      </c>
      <c r="R15" s="37">
        <v>0</v>
      </c>
      <c r="S15" s="100" t="e">
        <f>#N/A</f>
        <v>#N/A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40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E16-серпень!E16</f>
        <v>0</v>
      </c>
      <c r="O16" s="160">
        <f>F16-серпень!F16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 t="e">
        <f>#N/A</f>
        <v>#N/A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E17-серпень!E17</f>
        <v>0</v>
      </c>
      <c r="O17" s="160">
        <f>F17-серпень!F17</f>
        <v>0</v>
      </c>
      <c r="P17" s="161">
        <f t="shared" si="7"/>
        <v>0</v>
      </c>
      <c r="Q17" s="158"/>
      <c r="R17" s="104"/>
      <c r="S17" s="100" t="e">
        <f>#N/A</f>
        <v>#N/A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E18-серпень!E18</f>
        <v>0</v>
      </c>
      <c r="O18" s="160">
        <f>F18-серпень!F18</f>
        <v>0</v>
      </c>
      <c r="P18" s="161">
        <f t="shared" si="7"/>
        <v>0</v>
      </c>
      <c r="Q18" s="158" t="e">
        <f aca="true" t="shared" si="10" ref="Q18:Q24">O18/N18*100</f>
        <v>#DIV/0!</v>
      </c>
      <c r="R18" s="37">
        <v>0</v>
      </c>
      <c r="S18" s="100" t="e">
        <f>#N/A</f>
        <v>#N/A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64748.61</v>
      </c>
      <c r="G19" s="150">
        <f t="shared" si="5"/>
        <v>-30051.39</v>
      </c>
      <c r="H19" s="157">
        <f aca="true" t="shared" si="11" ref="H19:H39">F19/E19*100</f>
        <v>68.30022151898734</v>
      </c>
      <c r="I19" s="158">
        <f t="shared" si="8"/>
        <v>-65251.39</v>
      </c>
      <c r="J19" s="158">
        <f t="shared" si="9"/>
        <v>49.80662307692308</v>
      </c>
      <c r="K19" s="161">
        <v>74352.8</v>
      </c>
      <c r="L19" s="161">
        <f t="shared" si="2"/>
        <v>-9604.190000000002</v>
      </c>
      <c r="M19" s="208">
        <f t="shared" si="3"/>
        <v>0.8708294778407807</v>
      </c>
      <c r="N19" s="157">
        <f>E19-серпень!E19</f>
        <v>11800</v>
      </c>
      <c r="O19" s="160">
        <f>F19-серпень!F19</f>
        <v>30.080000000001746</v>
      </c>
      <c r="P19" s="161">
        <f t="shared" si="7"/>
        <v>-11769.919999999998</v>
      </c>
      <c r="Q19" s="158">
        <f t="shared" si="10"/>
        <v>0.25491525423730294</v>
      </c>
      <c r="R19" s="294">
        <v>8800</v>
      </c>
      <c r="S19" s="100" t="e">
        <f>#N/A</f>
        <v>#N/A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41696.23</v>
      </c>
      <c r="G20" s="253">
        <f t="shared" si="5"/>
        <v>-14553.769999999997</v>
      </c>
      <c r="H20" s="195">
        <f t="shared" si="11"/>
        <v>74.12663111111112</v>
      </c>
      <c r="I20" s="254">
        <f t="shared" si="8"/>
        <v>-34803.77</v>
      </c>
      <c r="J20" s="254">
        <f t="shared" si="9"/>
        <v>54.50487581699347</v>
      </c>
      <c r="K20" s="166">
        <v>74352.8</v>
      </c>
      <c r="L20" s="166">
        <f t="shared" si="2"/>
        <v>-32656.57</v>
      </c>
      <c r="M20" s="256">
        <f t="shared" si="3"/>
        <v>0.560788968270193</v>
      </c>
      <c r="N20" s="195">
        <f>E20-серпень!E20</f>
        <v>6850</v>
      </c>
      <c r="O20" s="179">
        <f>F20-серпень!F20</f>
        <v>30.080000000001746</v>
      </c>
      <c r="P20" s="166">
        <f t="shared" si="7"/>
        <v>-6819.919999999998</v>
      </c>
      <c r="Q20" s="254">
        <f t="shared" si="10"/>
        <v>0.43912408759126637</v>
      </c>
      <c r="R20" s="104">
        <v>4450</v>
      </c>
      <c r="S20" s="104" t="e">
        <f>#N/A</f>
        <v>#N/A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5"/>
        <v>-2807.6800000000003</v>
      </c>
      <c r="H21" s="195">
        <f t="shared" si="11"/>
        <v>63.771870967741926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E21-серпень!E21</f>
        <v>950</v>
      </c>
      <c r="O21" s="179">
        <f>F21-серпень!F21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 t="e">
        <f>#N/A</f>
        <v>#N/A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5"/>
        <v>-12689.95</v>
      </c>
      <c r="H22" s="195">
        <f t="shared" si="11"/>
        <v>58.79886363636363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E22-серпень!E22</f>
        <v>4000</v>
      </c>
      <c r="O22" s="179">
        <f>F22-серпень!F22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 t="e">
        <f>#N/A</f>
        <v>#N/A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293229.55</v>
      </c>
      <c r="G23" s="150">
        <f t="shared" si="5"/>
        <v>-10921.049999999988</v>
      </c>
      <c r="H23" s="157">
        <f t="shared" si="11"/>
        <v>96.40932814204542</v>
      </c>
      <c r="I23" s="158">
        <f t="shared" si="8"/>
        <v>-107900.54999999999</v>
      </c>
      <c r="J23" s="158">
        <f t="shared" si="9"/>
        <v>73.10085929727039</v>
      </c>
      <c r="K23" s="158">
        <v>247866.66</v>
      </c>
      <c r="L23" s="161">
        <f t="shared" si="2"/>
        <v>45362.889999999985</v>
      </c>
      <c r="M23" s="209">
        <f aca="true" t="shared" si="12" ref="M23:M31">F23/K23</f>
        <v>1.1830132781875544</v>
      </c>
      <c r="N23" s="157">
        <f>E23-серпень!E23</f>
        <v>23120.399999999965</v>
      </c>
      <c r="O23" s="160">
        <f>F23-серпень!F23</f>
        <v>5128.639999999956</v>
      </c>
      <c r="P23" s="161">
        <f t="shared" si="7"/>
        <v>-17991.76000000001</v>
      </c>
      <c r="Q23" s="158">
        <f t="shared" si="10"/>
        <v>22.182315184858236</v>
      </c>
      <c r="R23" s="288">
        <f>R24+R33+R35</f>
        <v>22714</v>
      </c>
      <c r="S23" s="294" t="e">
        <f>#N/A</f>
        <v>#N/A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141043.05</v>
      </c>
      <c r="G24" s="150">
        <f t="shared" si="5"/>
        <v>-13115.850000000006</v>
      </c>
      <c r="H24" s="157">
        <f t="shared" si="11"/>
        <v>91.49199300202582</v>
      </c>
      <c r="I24" s="158">
        <f t="shared" si="8"/>
        <v>-65577.95000000001</v>
      </c>
      <c r="J24" s="158">
        <f t="shared" si="9"/>
        <v>68.26172073506565</v>
      </c>
      <c r="K24" s="158">
        <v>135815.8</v>
      </c>
      <c r="L24" s="161">
        <f t="shared" si="2"/>
        <v>5227.25</v>
      </c>
      <c r="M24" s="209">
        <f t="shared" si="12"/>
        <v>1.0384877900803884</v>
      </c>
      <c r="N24" s="157">
        <f>E24-серпень!E24</f>
        <v>16613</v>
      </c>
      <c r="O24" s="160">
        <f>F24-серпень!F24</f>
        <v>3887.389999999985</v>
      </c>
      <c r="P24" s="161">
        <f t="shared" si="7"/>
        <v>-12725.610000000015</v>
      </c>
      <c r="Q24" s="158">
        <f t="shared" si="10"/>
        <v>23.399686992114518</v>
      </c>
      <c r="R24" s="293">
        <f>R25+R28+R29</f>
        <v>15007</v>
      </c>
      <c r="S24" s="293" t="e">
        <f>#N/A</f>
        <v>#N/A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17074.71</v>
      </c>
      <c r="G25" s="253">
        <f t="shared" si="5"/>
        <v>-184.38999999999942</v>
      </c>
      <c r="H25" s="195">
        <f t="shared" si="11"/>
        <v>98.93163606445296</v>
      </c>
      <c r="I25" s="254">
        <f t="shared" si="8"/>
        <v>-5734.290000000001</v>
      </c>
      <c r="J25" s="254">
        <f t="shared" si="9"/>
        <v>74.85952913323688</v>
      </c>
      <c r="K25" s="304">
        <v>15758.82</v>
      </c>
      <c r="L25" s="166">
        <f t="shared" si="2"/>
        <v>1315.8899999999994</v>
      </c>
      <c r="M25" s="215">
        <f t="shared" si="12"/>
        <v>1.0835018104147391</v>
      </c>
      <c r="N25" s="195">
        <f>E25-серпень!E25</f>
        <v>904.9999999999982</v>
      </c>
      <c r="O25" s="179">
        <f>F25-серпень!F25</f>
        <v>174.55999999999767</v>
      </c>
      <c r="P25" s="166">
        <f t="shared" si="7"/>
        <v>-730.4400000000005</v>
      </c>
      <c r="Q25" s="254">
        <f aca="true" t="shared" si="13" ref="Q25:Q35">O25/N25*100</f>
        <v>19.288397790055033</v>
      </c>
      <c r="R25" s="104">
        <v>800</v>
      </c>
      <c r="S25" s="104" t="e">
        <f>#N/A</f>
        <v>#N/A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897.75</v>
      </c>
      <c r="G26" s="223">
        <f t="shared" si="5"/>
        <v>-472.25</v>
      </c>
      <c r="H26" s="237">
        <f t="shared" si="11"/>
        <v>65.52919708029196</v>
      </c>
      <c r="I26" s="299">
        <f t="shared" si="8"/>
        <v>-924.55</v>
      </c>
      <c r="J26" s="299">
        <f t="shared" si="9"/>
        <v>49.264665532568735</v>
      </c>
      <c r="K26" s="200">
        <v>668.85</v>
      </c>
      <c r="L26" s="200">
        <f>K26-F26</f>
        <v>-228.89999999999998</v>
      </c>
      <c r="M26" s="228">
        <f t="shared" si="12"/>
        <v>1.3422291993720565</v>
      </c>
      <c r="N26" s="237">
        <f>E26-серпень!E26</f>
        <v>105</v>
      </c>
      <c r="O26" s="237">
        <f>F26-серпень!F26</f>
        <v>74.79999999999995</v>
      </c>
      <c r="P26" s="299">
        <f t="shared" si="7"/>
        <v>-30.200000000000045</v>
      </c>
      <c r="Q26" s="299">
        <f t="shared" si="13"/>
        <v>71.23809523809518</v>
      </c>
      <c r="R26" s="104"/>
      <c r="S26" s="104" t="e">
        <f>#N/A</f>
        <v>#N/A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16176.96</v>
      </c>
      <c r="G27" s="223">
        <f t="shared" si="5"/>
        <v>287.85999999999876</v>
      </c>
      <c r="H27" s="237">
        <f t="shared" si="11"/>
        <v>101.81168222240402</v>
      </c>
      <c r="I27" s="299">
        <f t="shared" si="8"/>
        <v>-4809.740000000002</v>
      </c>
      <c r="J27" s="299">
        <f t="shared" si="9"/>
        <v>77.08196143271691</v>
      </c>
      <c r="K27" s="200">
        <v>15089.97</v>
      </c>
      <c r="L27" s="200">
        <f>K27-F27</f>
        <v>-1086.9899999999998</v>
      </c>
      <c r="M27" s="228">
        <f t="shared" si="12"/>
        <v>1.072033940425329</v>
      </c>
      <c r="N27" s="237">
        <f>E27-серпень!E27</f>
        <v>800</v>
      </c>
      <c r="O27" s="237">
        <f>F27-серпень!F27</f>
        <v>99.75</v>
      </c>
      <c r="P27" s="299">
        <f t="shared" si="7"/>
        <v>-700.25</v>
      </c>
      <c r="Q27" s="299">
        <f t="shared" si="13"/>
        <v>12.46875</v>
      </c>
      <c r="R27" s="104"/>
      <c r="S27" s="104" t="e">
        <f>#N/A</f>
        <v>#N/A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-5.5</v>
      </c>
      <c r="G28" s="253">
        <f t="shared" si="5"/>
        <v>-472.3</v>
      </c>
      <c r="H28" s="195">
        <f t="shared" si="11"/>
        <v>-1.1782347900599828</v>
      </c>
      <c r="I28" s="254">
        <f t="shared" si="8"/>
        <v>-825.5</v>
      </c>
      <c r="J28" s="254">
        <f t="shared" si="9"/>
        <v>-0.6707317073170732</v>
      </c>
      <c r="K28" s="174">
        <v>777.34</v>
      </c>
      <c r="L28" s="174">
        <f aca="true" t="shared" si="14" ref="L28:L42">F28-K28</f>
        <v>-782.84</v>
      </c>
      <c r="M28" s="212">
        <f t="shared" si="12"/>
        <v>-0.007075411017058173</v>
      </c>
      <c r="N28" s="195">
        <f>E28-серпень!E28</f>
        <v>105</v>
      </c>
      <c r="O28" s="179">
        <f>F28-серпень!F28</f>
        <v>0</v>
      </c>
      <c r="P28" s="166">
        <f t="shared" si="7"/>
        <v>-105</v>
      </c>
      <c r="Q28" s="254">
        <f t="shared" si="13"/>
        <v>0</v>
      </c>
      <c r="R28" s="104">
        <v>-25</v>
      </c>
      <c r="S28" s="104" t="e">
        <f>#N/A</f>
        <v>#N/A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123973.84</v>
      </c>
      <c r="G29" s="150">
        <f t="shared" si="5"/>
        <v>-12459.160000000003</v>
      </c>
      <c r="H29" s="195">
        <f t="shared" si="11"/>
        <v>90.8679278473683</v>
      </c>
      <c r="I29" s="254">
        <f t="shared" si="8"/>
        <v>-59018.16</v>
      </c>
      <c r="J29" s="254">
        <f t="shared" si="9"/>
        <v>67.74822943079478</v>
      </c>
      <c r="K29" s="175">
        <v>119279.65</v>
      </c>
      <c r="L29" s="175">
        <f t="shared" si="14"/>
        <v>4694.190000000002</v>
      </c>
      <c r="M29" s="211">
        <f t="shared" si="12"/>
        <v>1.0393544917343402</v>
      </c>
      <c r="N29" s="195">
        <f>E29-серпень!E29</f>
        <v>15603</v>
      </c>
      <c r="O29" s="179">
        <f>F29-серпень!F29</f>
        <v>3712.8300000000017</v>
      </c>
      <c r="P29" s="166">
        <f t="shared" si="7"/>
        <v>-11890.169999999998</v>
      </c>
      <c r="Q29" s="254">
        <f t="shared" si="13"/>
        <v>23.79561622764854</v>
      </c>
      <c r="R29" s="104">
        <v>14232</v>
      </c>
      <c r="S29" s="104" t="e">
        <f>#N/A</f>
        <v>#N/A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40845.65</v>
      </c>
      <c r="G30" s="223">
        <f t="shared" si="5"/>
        <v>-2287.3499999999985</v>
      </c>
      <c r="H30" s="237">
        <f t="shared" si="11"/>
        <v>94.69698374794241</v>
      </c>
      <c r="I30" s="299">
        <f t="shared" si="8"/>
        <v>-16687.35</v>
      </c>
      <c r="J30" s="299">
        <f t="shared" si="9"/>
        <v>70.99516799054456</v>
      </c>
      <c r="K30" s="200">
        <v>37996.12</v>
      </c>
      <c r="L30" s="200">
        <f t="shared" si="14"/>
        <v>2849.529999999999</v>
      </c>
      <c r="M30" s="228">
        <f t="shared" si="12"/>
        <v>1.0749952889926655</v>
      </c>
      <c r="N30" s="237">
        <f>E30-серпень!E30</f>
        <v>4918</v>
      </c>
      <c r="O30" s="237">
        <f>F30-серпень!F30</f>
        <v>131.88000000000466</v>
      </c>
      <c r="P30" s="299">
        <f t="shared" si="7"/>
        <v>-4786.119999999995</v>
      </c>
      <c r="Q30" s="299">
        <f t="shared" si="13"/>
        <v>2.6815778771859424</v>
      </c>
      <c r="R30" s="107"/>
      <c r="S30" s="100" t="e">
        <f>#N/A</f>
        <v>#N/A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83128.19</v>
      </c>
      <c r="G31" s="223">
        <f t="shared" si="5"/>
        <v>-10171.809999999998</v>
      </c>
      <c r="H31" s="237">
        <f t="shared" si="11"/>
        <v>89.09773847802786</v>
      </c>
      <c r="I31" s="299">
        <f t="shared" si="8"/>
        <v>-42330.81</v>
      </c>
      <c r="J31" s="299">
        <f t="shared" si="9"/>
        <v>66.25924804119275</v>
      </c>
      <c r="K31" s="200">
        <v>81283.52</v>
      </c>
      <c r="L31" s="200">
        <f t="shared" si="14"/>
        <v>1844.6699999999983</v>
      </c>
      <c r="M31" s="228">
        <f t="shared" si="12"/>
        <v>1.0226942681616151</v>
      </c>
      <c r="N31" s="237">
        <f>E31-серпень!E31</f>
        <v>10685</v>
      </c>
      <c r="O31" s="237">
        <f>F31-серпень!F31</f>
        <v>3580.949999999997</v>
      </c>
      <c r="P31" s="299">
        <f t="shared" si="7"/>
        <v>-7104.050000000003</v>
      </c>
      <c r="Q31" s="299">
        <f t="shared" si="13"/>
        <v>33.51380439868972</v>
      </c>
      <c r="R31" s="107"/>
      <c r="S31" s="100" t="e">
        <f>#N/A</f>
        <v>#N/A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E32-серпень!E32</f>
        <v>0</v>
      </c>
      <c r="O32" s="160">
        <f>F32-серпень!F32</f>
        <v>0</v>
      </c>
      <c r="P32" s="161">
        <f t="shared" si="7"/>
        <v>0</v>
      </c>
      <c r="Q32" s="158"/>
      <c r="R32" s="293"/>
      <c r="S32" s="293" t="e">
        <f>#N/A</f>
        <v>#N/A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114.06</v>
      </c>
      <c r="G33" s="150">
        <f t="shared" si="5"/>
        <v>35.06</v>
      </c>
      <c r="H33" s="157">
        <f t="shared" si="11"/>
        <v>144.37974683544303</v>
      </c>
      <c r="I33" s="158">
        <f t="shared" si="8"/>
        <v>-0.9399999999999977</v>
      </c>
      <c r="J33" s="158">
        <f t="shared" si="9"/>
        <v>99.18260869565218</v>
      </c>
      <c r="K33" s="158">
        <v>87.95</v>
      </c>
      <c r="L33" s="158">
        <f t="shared" si="14"/>
        <v>26.11</v>
      </c>
      <c r="M33" s="210">
        <f aca="true" t="shared" si="15" ref="M33:M39">F33/K33</f>
        <v>1.296873223422399</v>
      </c>
      <c r="N33" s="157">
        <f>E33-серпень!E33</f>
        <v>7.400000000000006</v>
      </c>
      <c r="O33" s="160">
        <f>F33-серпень!F33</f>
        <v>0</v>
      </c>
      <c r="P33" s="161">
        <f t="shared" si="7"/>
        <v>-7.400000000000006</v>
      </c>
      <c r="Q33" s="158">
        <f t="shared" si="13"/>
        <v>0</v>
      </c>
      <c r="R33" s="293">
        <v>7</v>
      </c>
      <c r="S33" s="293" t="e">
        <f>#N/A</f>
        <v>#N/A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-37.63</v>
      </c>
      <c r="G34" s="150">
        <f t="shared" si="5"/>
        <v>-37.63</v>
      </c>
      <c r="H34" s="157"/>
      <c r="I34" s="158">
        <f t="shared" si="8"/>
        <v>-37.63</v>
      </c>
      <c r="J34" s="158"/>
      <c r="K34" s="158">
        <v>-160.1</v>
      </c>
      <c r="L34" s="158">
        <f t="shared" si="14"/>
        <v>122.47</v>
      </c>
      <c r="M34" s="210">
        <f t="shared" si="15"/>
        <v>0.23504059962523424</v>
      </c>
      <c r="N34" s="157">
        <f>E34-серпень!E34</f>
        <v>0</v>
      </c>
      <c r="O34" s="160">
        <f>F34-серпень!F34</f>
        <v>0.5799999999999983</v>
      </c>
      <c r="P34" s="161">
        <f t="shared" si="7"/>
        <v>0.5799999999999983</v>
      </c>
      <c r="Q34" s="158"/>
      <c r="R34" s="293"/>
      <c r="S34" s="293" t="e">
        <f>#N/A</f>
        <v>#N/A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152109.87</v>
      </c>
      <c r="G35" s="150">
        <f t="shared" si="5"/>
        <v>2197.1699999999837</v>
      </c>
      <c r="H35" s="157">
        <f t="shared" si="11"/>
        <v>101.46563299840506</v>
      </c>
      <c r="I35" s="158">
        <f t="shared" si="8"/>
        <v>-42284.23000000001</v>
      </c>
      <c r="J35" s="158">
        <f t="shared" si="9"/>
        <v>78.2481927177831</v>
      </c>
      <c r="K35" s="178">
        <v>112122.86</v>
      </c>
      <c r="L35" s="178">
        <f t="shared" si="14"/>
        <v>39987.009999999995</v>
      </c>
      <c r="M35" s="226">
        <f t="shared" si="15"/>
        <v>1.3566356584197012</v>
      </c>
      <c r="N35" s="157">
        <f>E35-серпень!E35</f>
        <v>6500</v>
      </c>
      <c r="O35" s="160">
        <f>F35-серпень!F35</f>
        <v>1240.6699999999837</v>
      </c>
      <c r="P35" s="161">
        <f t="shared" si="7"/>
        <v>-5259.330000000016</v>
      </c>
      <c r="Q35" s="158">
        <f t="shared" si="13"/>
        <v>19.08723076923052</v>
      </c>
      <c r="R35" s="293">
        <v>7700</v>
      </c>
      <c r="S35" s="293" t="e">
        <f>#N/A</f>
        <v>#N/A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E36-серпень!E36</f>
        <v>0</v>
      </c>
      <c r="O36" s="144">
        <f>F36-серпень!F36</f>
        <v>0</v>
      </c>
      <c r="P36" s="106">
        <f t="shared" si="7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30278.67</v>
      </c>
      <c r="G37" s="103">
        <f>F37-E37</f>
        <v>-241.33000000000175</v>
      </c>
      <c r="H37" s="105">
        <f t="shared" si="11"/>
        <v>99.20927260812581</v>
      </c>
      <c r="I37" s="104">
        <f t="shared" si="8"/>
        <v>-10721.330000000002</v>
      </c>
      <c r="J37" s="104">
        <f t="shared" si="9"/>
        <v>73.85041463414633</v>
      </c>
      <c r="K37" s="127">
        <v>28340.41</v>
      </c>
      <c r="L37" s="127">
        <f t="shared" si="14"/>
        <v>1938.2599999999984</v>
      </c>
      <c r="M37" s="216">
        <f t="shared" si="15"/>
        <v>1.068392094539211</v>
      </c>
      <c r="N37" s="105">
        <f>E37-серпень!E37</f>
        <v>1000</v>
      </c>
      <c r="O37" s="144">
        <f>F37-серпень!F37</f>
        <v>115.25</v>
      </c>
      <c r="P37" s="106">
        <f t="shared" si="7"/>
        <v>-884.75</v>
      </c>
      <c r="Q37" s="104">
        <f>O37/N37*100</f>
        <v>11.525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121801.11</v>
      </c>
      <c r="G38" s="103">
        <f>F38-E38</f>
        <v>2441.1100000000006</v>
      </c>
      <c r="H38" s="105">
        <f t="shared" si="11"/>
        <v>102.0451658847185</v>
      </c>
      <c r="I38" s="104">
        <f t="shared" si="8"/>
        <v>-31537.990000000005</v>
      </c>
      <c r="J38" s="104">
        <f t="shared" si="9"/>
        <v>79.43251916830084</v>
      </c>
      <c r="K38" s="127">
        <v>83755.8</v>
      </c>
      <c r="L38" s="127">
        <f t="shared" si="14"/>
        <v>38045.31</v>
      </c>
      <c r="M38" s="216">
        <f t="shared" si="15"/>
        <v>1.4542409003316785</v>
      </c>
      <c r="N38" s="105">
        <f>E38-серпень!E38</f>
        <v>5500</v>
      </c>
      <c r="O38" s="144">
        <f>F38-серпень!F38</f>
        <v>1125.4199999999983</v>
      </c>
      <c r="P38" s="106">
        <f t="shared" si="7"/>
        <v>-4374.580000000002</v>
      </c>
      <c r="Q38" s="104">
        <f>O38/N38*100</f>
        <v>20.462181818181786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26.42</v>
      </c>
      <c r="L39" s="127">
        <f t="shared" si="14"/>
        <v>3.6499999999999986</v>
      </c>
      <c r="M39" s="216">
        <f t="shared" si="15"/>
        <v>1.1381529144587432</v>
      </c>
      <c r="N39" s="105">
        <f>E39-серпень!E39</f>
        <v>0</v>
      </c>
      <c r="O39" s="144">
        <f>F39-серпень!F39</f>
        <v>0</v>
      </c>
      <c r="P39" s="106">
        <f t="shared" si="7"/>
        <v>0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8"/>
        <v>0</v>
      </c>
      <c r="J40" s="37"/>
      <c r="K40" s="119">
        <v>0</v>
      </c>
      <c r="L40" s="119">
        <f t="shared" si="14"/>
        <v>0</v>
      </c>
      <c r="M40" s="217"/>
      <c r="N40" s="137">
        <f>E40-серпень!E40</f>
        <v>0</v>
      </c>
      <c r="O40" s="145">
        <f>F40-серпень!F40</f>
        <v>0</v>
      </c>
      <c r="P40" s="161">
        <f t="shared" si="7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287">
        <f>F42+F43+F44+F45+F46+F48+F50+F51+F52+F53+F54+F59+F60+F64+F47+F49</f>
        <v>50937.4</v>
      </c>
      <c r="G41" s="287">
        <f>G42+G43+G44+G45+G46+G48+G50+G51+G52+G53+G54+G59+G60+G64+G47+G49</f>
        <v>5389.099999999999</v>
      </c>
      <c r="H41" s="287">
        <f>H42+H43+H44+H45+H46+H48+H50+H51+H52+H53+H54+H59+H60+H64+H47+H49</f>
        <v>5389.099999999999</v>
      </c>
      <c r="I41" s="153">
        <f>F41-D41</f>
        <v>-8087.5999999999985</v>
      </c>
      <c r="J41" s="153">
        <f>F41/D41*100</f>
        <v>86.29800931808556</v>
      </c>
      <c r="K41" s="287">
        <v>49446.88</v>
      </c>
      <c r="L41" s="151">
        <f t="shared" si="14"/>
        <v>1490.520000000004</v>
      </c>
      <c r="M41" s="205">
        <f>F41/K41</f>
        <v>1.0301438634753093</v>
      </c>
      <c r="N41" s="151">
        <f>N42+N43+N44+N45+N46+N48+N50+N51+N52+N53+N54+N59+N60+N64+N47+N49</f>
        <v>4970.8</v>
      </c>
      <c r="O41" s="287">
        <f>O42+O43+O44+O45+O46+O48+O50+O51+O52+O53+O54+O59+O60+O64+O47+O49</f>
        <v>3522.499999999999</v>
      </c>
      <c r="P41" s="151">
        <f>P42+P43+P44+P45+P46+P48+P50+P51+P52+P53+P54+P59+P60+P64</f>
        <v>-1448.3000000000006</v>
      </c>
      <c r="Q41" s="151">
        <f>O41/N41*100</f>
        <v>70.86384485394703</v>
      </c>
      <c r="R41" s="15">
        <f>R42+R43+R44+R45+R46+R47+R48+R50+R51+R52+R53+R54+R59+R60+R64</f>
        <v>5598.5</v>
      </c>
      <c r="S41" s="15">
        <f>O41-R41</f>
        <v>-2076.000000000001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420.88</v>
      </c>
      <c r="L42" s="165">
        <f t="shared" si="14"/>
        <v>3137.02</v>
      </c>
      <c r="M42" s="218">
        <f>F42/K42</f>
        <v>8.453478426154724</v>
      </c>
      <c r="N42" s="157">
        <f>E42-серпень!E42</f>
        <v>0</v>
      </c>
      <c r="O42" s="160">
        <f>F42-серпень!F42</f>
        <v>0</v>
      </c>
      <c r="P42" s="161">
        <f aca="true" t="shared" si="17" ref="P42:P66">O42-N42</f>
        <v>0</v>
      </c>
      <c r="Q42" s="165" t="e">
        <f>O42/N42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16"/>
        <v>-1604.9900000000016</v>
      </c>
      <c r="H43" s="164">
        <f aca="true" t="shared" si="18" ref="H43:H66">F43-E43</f>
        <v>-1604.9900000000016</v>
      </c>
      <c r="I43" s="165">
        <f aca="true" t="shared" si="19" ref="I43:I66">F43-D43</f>
        <v>-9504.990000000002</v>
      </c>
      <c r="J43" s="165">
        <f>F43/D43*100</f>
        <v>68.3167</v>
      </c>
      <c r="K43" s="165">
        <v>24166.13</v>
      </c>
      <c r="L43" s="165">
        <f aca="true" t="shared" si="20" ref="L43:L66">F43-K43</f>
        <v>-3671.1200000000026</v>
      </c>
      <c r="M43" s="218">
        <f aca="true" t="shared" si="21" ref="M43:M66">F43/K43</f>
        <v>0.8480882127175513</v>
      </c>
      <c r="N43" s="157">
        <f>E43-серпень!E43</f>
        <v>2800</v>
      </c>
      <c r="O43" s="160">
        <f>F43-серпень!F43</f>
        <v>2426.869999999999</v>
      </c>
      <c r="P43" s="161">
        <f t="shared" si="17"/>
        <v>-373.130000000001</v>
      </c>
      <c r="Q43" s="165">
        <f aca="true" t="shared" si="22" ref="Q43:Q65">O43/N43</f>
        <v>0.8667392857142854</v>
      </c>
      <c r="R43" s="37">
        <v>2874.5</v>
      </c>
      <c r="S43" s="37" t="e">
        <f>#N/A</f>
        <v>#N/A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123.3</v>
      </c>
      <c r="G44" s="150">
        <f t="shared" si="16"/>
        <v>98.3</v>
      </c>
      <c r="H44" s="164">
        <f t="shared" si="18"/>
        <v>98.3</v>
      </c>
      <c r="I44" s="165">
        <f t="shared" si="19"/>
        <v>83.3</v>
      </c>
      <c r="J44" s="165">
        <f aca="true" t="shared" si="23" ref="J44:J65">F44/D44*100</f>
        <v>308.25</v>
      </c>
      <c r="K44" s="165">
        <v>31.98</v>
      </c>
      <c r="L44" s="165">
        <f t="shared" si="20"/>
        <v>91.32</v>
      </c>
      <c r="M44" s="218">
        <f t="shared" si="21"/>
        <v>3.8555347091932455</v>
      </c>
      <c r="N44" s="157">
        <f>E44-серпень!E44</f>
        <v>1</v>
      </c>
      <c r="O44" s="160">
        <f>F44-серпень!F44</f>
        <v>0</v>
      </c>
      <c r="P44" s="161">
        <f t="shared" si="17"/>
        <v>-1</v>
      </c>
      <c r="Q44" s="165">
        <f t="shared" si="22"/>
        <v>0</v>
      </c>
      <c r="R44" s="37">
        <v>10</v>
      </c>
      <c r="S44" s="37" t="e">
        <f>#N/A</f>
        <v>#N/A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E45-серпень!E45</f>
        <v>0</v>
      </c>
      <c r="O45" s="160">
        <f>F45-серпень!F45</f>
        <v>0</v>
      </c>
      <c r="P45" s="161">
        <f t="shared" si="17"/>
        <v>0</v>
      </c>
      <c r="Q45" s="165"/>
      <c r="R45" s="37">
        <v>0</v>
      </c>
      <c r="S45" s="37" t="e">
        <f>#N/A</f>
        <v>#N/A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607.1</v>
      </c>
      <c r="G46" s="150">
        <f t="shared" si="16"/>
        <v>413.1</v>
      </c>
      <c r="H46" s="164">
        <f t="shared" si="18"/>
        <v>413.1</v>
      </c>
      <c r="I46" s="165">
        <f t="shared" si="19"/>
        <v>347.1</v>
      </c>
      <c r="J46" s="165">
        <f t="shared" si="23"/>
        <v>233.5</v>
      </c>
      <c r="K46" s="165">
        <v>197.12</v>
      </c>
      <c r="L46" s="165">
        <f t="shared" si="20"/>
        <v>409.98</v>
      </c>
      <c r="M46" s="218">
        <f t="shared" si="21"/>
        <v>3.0798498376623376</v>
      </c>
      <c r="N46" s="157">
        <f>E46-серпень!E46</f>
        <v>22</v>
      </c>
      <c r="O46" s="160">
        <f>F46-серпень!F46</f>
        <v>7.9500000000000455</v>
      </c>
      <c r="P46" s="161">
        <f t="shared" si="17"/>
        <v>-14.049999999999955</v>
      </c>
      <c r="Q46" s="165">
        <f t="shared" si="22"/>
        <v>0.36136363636363844</v>
      </c>
      <c r="R46" s="37">
        <v>70</v>
      </c>
      <c r="S46" s="37" t="e">
        <f>#N/A</f>
        <v>#N/A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16"/>
        <v>3.6300000000000097</v>
      </c>
      <c r="H47" s="164">
        <f t="shared" si="18"/>
        <v>3.6300000000000097</v>
      </c>
      <c r="I47" s="165">
        <f t="shared" si="19"/>
        <v>-19.069999999999993</v>
      </c>
      <c r="J47" s="165">
        <f t="shared" si="23"/>
        <v>80.44102564102565</v>
      </c>
      <c r="K47" s="165">
        <v>41.15</v>
      </c>
      <c r="L47" s="165">
        <f t="shared" si="20"/>
        <v>37.28000000000001</v>
      </c>
      <c r="M47" s="218">
        <f t="shared" si="21"/>
        <v>1.9059538274605106</v>
      </c>
      <c r="N47" s="157">
        <f>E47-серпень!E47</f>
        <v>6.799999999999997</v>
      </c>
      <c r="O47" s="160">
        <f>F47-серпень!F47</f>
        <v>6.800000000000011</v>
      </c>
      <c r="P47" s="161">
        <f t="shared" si="17"/>
        <v>1.4210854715202004E-14</v>
      </c>
      <c r="Q47" s="165">
        <f t="shared" si="22"/>
        <v>1.000000000000002</v>
      </c>
      <c r="R47" s="37">
        <v>0</v>
      </c>
      <c r="S47" s="37" t="e">
        <f>#N/A</f>
        <v>#N/A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841.07</v>
      </c>
      <c r="G48" s="150">
        <f t="shared" si="16"/>
        <v>201.07000000000005</v>
      </c>
      <c r="H48" s="164">
        <f t="shared" si="18"/>
        <v>201.07000000000005</v>
      </c>
      <c r="I48" s="165">
        <f t="shared" si="19"/>
        <v>111.07000000000005</v>
      </c>
      <c r="J48" s="165">
        <f t="shared" si="23"/>
        <v>115.21506849315068</v>
      </c>
      <c r="K48" s="165">
        <v>428.63</v>
      </c>
      <c r="L48" s="165">
        <f t="shared" si="20"/>
        <v>412.44000000000005</v>
      </c>
      <c r="M48" s="218">
        <f t="shared" si="21"/>
        <v>1.9622284954389568</v>
      </c>
      <c r="N48" s="157">
        <f>E48-серпень!E48</f>
        <v>60</v>
      </c>
      <c r="O48" s="160">
        <f>F48-серпень!F48</f>
        <v>28.200000000000045</v>
      </c>
      <c r="P48" s="161">
        <f t="shared" si="17"/>
        <v>-31.799999999999955</v>
      </c>
      <c r="Q48" s="165">
        <f t="shared" si="22"/>
        <v>0.47000000000000075</v>
      </c>
      <c r="R48" s="37">
        <v>100</v>
      </c>
      <c r="S48" s="37" t="e">
        <f>#N/A</f>
        <v>#N/A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/>
      <c r="K49" s="165"/>
      <c r="L49" s="165">
        <f t="shared" si="20"/>
        <v>23.38</v>
      </c>
      <c r="M49" s="218"/>
      <c r="N49" s="157">
        <f>E49-серпень!E49</f>
        <v>0</v>
      </c>
      <c r="O49" s="160">
        <f>F49-серпень!F49</f>
        <v>0</v>
      </c>
      <c r="P49" s="161">
        <f t="shared" si="17"/>
        <v>0</v>
      </c>
      <c r="Q49" s="165"/>
      <c r="R49" s="37"/>
      <c r="S49" s="37" t="e">
        <f>#N/A</f>
        <v>#N/A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13288.26</v>
      </c>
      <c r="G50" s="150">
        <f t="shared" si="16"/>
        <v>4348.26</v>
      </c>
      <c r="H50" s="164">
        <f t="shared" si="18"/>
        <v>4348.26</v>
      </c>
      <c r="I50" s="165">
        <f t="shared" si="19"/>
        <v>2288.26</v>
      </c>
      <c r="J50" s="165">
        <f t="shared" si="23"/>
        <v>120.80236363636362</v>
      </c>
      <c r="K50" s="165">
        <v>8067.74</v>
      </c>
      <c r="L50" s="165">
        <f t="shared" si="20"/>
        <v>5220.52</v>
      </c>
      <c r="M50" s="218">
        <f t="shared" si="21"/>
        <v>1.6470858009802003</v>
      </c>
      <c r="N50" s="157">
        <f>E50-серпень!E50</f>
        <v>1000</v>
      </c>
      <c r="O50" s="160">
        <f>F50-серпень!F50</f>
        <v>374.4400000000005</v>
      </c>
      <c r="P50" s="161">
        <f t="shared" si="17"/>
        <v>-625.5599999999995</v>
      </c>
      <c r="Q50" s="165">
        <f t="shared" si="22"/>
        <v>0.3744400000000005</v>
      </c>
      <c r="R50" s="37">
        <v>1400</v>
      </c>
      <c r="S50" s="37" t="e">
        <f>#N/A</f>
        <v>#N/A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389.68</v>
      </c>
      <c r="G51" s="150">
        <f t="shared" si="16"/>
        <v>154.68</v>
      </c>
      <c r="H51" s="164">
        <f t="shared" si="18"/>
        <v>154.68</v>
      </c>
      <c r="I51" s="165">
        <f t="shared" si="19"/>
        <v>79.68</v>
      </c>
      <c r="J51" s="165">
        <f t="shared" si="23"/>
        <v>125.70322580645161</v>
      </c>
      <c r="K51" s="165">
        <v>210.12</v>
      </c>
      <c r="L51" s="165">
        <f t="shared" si="20"/>
        <v>179.56</v>
      </c>
      <c r="M51" s="218">
        <f t="shared" si="21"/>
        <v>1.8545592994479345</v>
      </c>
      <c r="N51" s="157">
        <f>E51-серпень!E51</f>
        <v>25</v>
      </c>
      <c r="O51" s="160">
        <f>F51-серпень!F51</f>
        <v>13.439999999999998</v>
      </c>
      <c r="P51" s="161">
        <f t="shared" si="17"/>
        <v>-11.560000000000002</v>
      </c>
      <c r="Q51" s="165">
        <f t="shared" si="22"/>
        <v>0.5375999999999999</v>
      </c>
      <c r="R51" s="37">
        <v>40</v>
      </c>
      <c r="S51" s="37" t="e">
        <f>#N/A</f>
        <v>#N/A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31.68</v>
      </c>
      <c r="G52" s="150">
        <f t="shared" si="16"/>
        <v>14.68</v>
      </c>
      <c r="H52" s="164">
        <f t="shared" si="18"/>
        <v>14.68</v>
      </c>
      <c r="I52" s="165">
        <f t="shared" si="19"/>
        <v>11.68</v>
      </c>
      <c r="J52" s="165">
        <f t="shared" si="23"/>
        <v>158.4</v>
      </c>
      <c r="K52" s="165">
        <v>16.68</v>
      </c>
      <c r="L52" s="165">
        <f t="shared" si="20"/>
        <v>15</v>
      </c>
      <c r="M52" s="218">
        <f t="shared" si="21"/>
        <v>1.8992805755395683</v>
      </c>
      <c r="N52" s="157">
        <f>E52-серпень!E52</f>
        <v>1</v>
      </c>
      <c r="O52" s="160">
        <f>F52-серпень!F52</f>
        <v>0</v>
      </c>
      <c r="P52" s="161">
        <f t="shared" si="17"/>
        <v>-1</v>
      </c>
      <c r="Q52" s="165">
        <f t="shared" si="22"/>
        <v>0</v>
      </c>
      <c r="R52" s="37">
        <v>4</v>
      </c>
      <c r="S52" s="37" t="e">
        <f>#N/A</f>
        <v>#N/A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16"/>
        <v>-586.6700000000001</v>
      </c>
      <c r="H53" s="164">
        <f t="shared" si="18"/>
        <v>-586.6700000000001</v>
      </c>
      <c r="I53" s="165">
        <f t="shared" si="19"/>
        <v>-2401.67</v>
      </c>
      <c r="J53" s="165">
        <f t="shared" si="23"/>
        <v>66.98735395189004</v>
      </c>
      <c r="K53" s="165">
        <v>5625.22</v>
      </c>
      <c r="L53" s="165">
        <f t="shared" si="20"/>
        <v>-751.8900000000003</v>
      </c>
      <c r="M53" s="218">
        <f t="shared" si="21"/>
        <v>0.8663358944183516</v>
      </c>
      <c r="N53" s="157">
        <f>E53-серпень!E53</f>
        <v>605</v>
      </c>
      <c r="O53" s="160">
        <f>F53-серпень!F53</f>
        <v>539.9899999999998</v>
      </c>
      <c r="P53" s="161">
        <f t="shared" si="17"/>
        <v>-65.01000000000022</v>
      </c>
      <c r="Q53" s="165">
        <f t="shared" si="22"/>
        <v>0.8925454545454542</v>
      </c>
      <c r="R53" s="37">
        <v>550</v>
      </c>
      <c r="S53" s="37" t="e">
        <f>#N/A</f>
        <v>#N/A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560.05</v>
      </c>
      <c r="G54" s="150">
        <f t="shared" si="16"/>
        <v>-329.95000000000005</v>
      </c>
      <c r="H54" s="164">
        <f t="shared" si="18"/>
        <v>-329.95000000000005</v>
      </c>
      <c r="I54" s="165">
        <f t="shared" si="19"/>
        <v>-639.95</v>
      </c>
      <c r="J54" s="165">
        <f t="shared" si="23"/>
        <v>46.67083333333333</v>
      </c>
      <c r="K54" s="165">
        <v>4925.62</v>
      </c>
      <c r="L54" s="165">
        <f t="shared" si="20"/>
        <v>-4365.57</v>
      </c>
      <c r="M54" s="218">
        <f t="shared" si="21"/>
        <v>0.11370142235901266</v>
      </c>
      <c r="N54" s="157">
        <f>E54-серпень!E54</f>
        <v>100</v>
      </c>
      <c r="O54" s="160">
        <f>F54-серпень!F54</f>
        <v>9.059999999999945</v>
      </c>
      <c r="P54" s="161">
        <f t="shared" si="17"/>
        <v>-90.94000000000005</v>
      </c>
      <c r="Q54" s="165">
        <f t="shared" si="22"/>
        <v>0.09059999999999946</v>
      </c>
      <c r="R54" s="37">
        <v>50</v>
      </c>
      <c r="S54" s="37" t="e">
        <f>#N/A</f>
        <v>#N/A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472.31</v>
      </c>
      <c r="G55" s="103">
        <f t="shared" si="16"/>
        <v>-267.69</v>
      </c>
      <c r="H55" s="105">
        <f t="shared" si="18"/>
        <v>-267.69</v>
      </c>
      <c r="I55" s="104">
        <f t="shared" si="19"/>
        <v>-525.69</v>
      </c>
      <c r="J55" s="104">
        <f t="shared" si="23"/>
        <v>47.32565130260521</v>
      </c>
      <c r="K55" s="104">
        <v>643.11</v>
      </c>
      <c r="L55" s="165">
        <f t="shared" si="20"/>
        <v>-170.8</v>
      </c>
      <c r="M55" s="218">
        <f t="shared" si="21"/>
        <v>0.7344155743185458</v>
      </c>
      <c r="N55" s="105">
        <f>E55-серпень!E55</f>
        <v>80</v>
      </c>
      <c r="O55" s="144">
        <f>F55-серпень!F55</f>
        <v>5.329999999999984</v>
      </c>
      <c r="P55" s="106">
        <f t="shared" si="17"/>
        <v>-74.67000000000002</v>
      </c>
      <c r="Q55" s="104">
        <f t="shared" si="22"/>
        <v>0.0666249999999998</v>
      </c>
      <c r="R55" s="37"/>
      <c r="S55" s="37" t="e">
        <f>#N/A</f>
        <v>#N/A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E56-серпень!E56</f>
        <v>0</v>
      </c>
      <c r="O56" s="144">
        <f>F56-серпень!F56</f>
        <v>0</v>
      </c>
      <c r="P56" s="106">
        <f t="shared" si="17"/>
        <v>0</v>
      </c>
      <c r="Q56" s="104"/>
      <c r="R56" s="37"/>
      <c r="S56" s="37" t="e">
        <f>#N/A</f>
        <v>#N/A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E57-серпень!E57</f>
        <v>0</v>
      </c>
      <c r="O57" s="144">
        <f>F57-серпень!F57</f>
        <v>0</v>
      </c>
      <c r="P57" s="106">
        <f t="shared" si="17"/>
        <v>0</v>
      </c>
      <c r="Q57" s="104"/>
      <c r="R57" s="37"/>
      <c r="S57" s="37" t="e">
        <f>#N/A</f>
        <v>#N/A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87.59</v>
      </c>
      <c r="G58" s="103">
        <f t="shared" si="16"/>
        <v>-62.41</v>
      </c>
      <c r="H58" s="105">
        <f t="shared" si="18"/>
        <v>-62.41</v>
      </c>
      <c r="I58" s="104">
        <f t="shared" si="19"/>
        <v>-112.41</v>
      </c>
      <c r="J58" s="104">
        <f t="shared" si="23"/>
        <v>43.795</v>
      </c>
      <c r="K58" s="104">
        <v>4282.22</v>
      </c>
      <c r="L58" s="165">
        <f t="shared" si="20"/>
        <v>-4194.63</v>
      </c>
      <c r="M58" s="218">
        <f t="shared" si="21"/>
        <v>0.020454343774957848</v>
      </c>
      <c r="N58" s="105">
        <f>E58-серпень!E58</f>
        <v>20</v>
      </c>
      <c r="O58" s="144">
        <f>F58-серпень!F58</f>
        <v>3.730000000000004</v>
      </c>
      <c r="P58" s="106">
        <f t="shared" si="17"/>
        <v>-16.269999999999996</v>
      </c>
      <c r="Q58" s="104">
        <f t="shared" si="22"/>
        <v>0.1865000000000002</v>
      </c>
      <c r="R58" s="37"/>
      <c r="S58" s="37" t="e">
        <f>#N/A</f>
        <v>#N/A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E59-серпень!E59</f>
        <v>0</v>
      </c>
      <c r="O59" s="160">
        <f>F59-серпень!F59</f>
        <v>0</v>
      </c>
      <c r="P59" s="161">
        <f t="shared" si="17"/>
        <v>0</v>
      </c>
      <c r="Q59" s="165"/>
      <c r="R59" s="37">
        <v>0</v>
      </c>
      <c r="S59" s="37" t="e">
        <f>#N/A</f>
        <v>#N/A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5993.08</v>
      </c>
      <c r="G60" s="150">
        <f t="shared" si="16"/>
        <v>-406.9200000000001</v>
      </c>
      <c r="H60" s="164">
        <f t="shared" si="18"/>
        <v>-406.9200000000001</v>
      </c>
      <c r="I60" s="165">
        <f t="shared" si="19"/>
        <v>-1356.92</v>
      </c>
      <c r="J60" s="165">
        <f t="shared" si="23"/>
        <v>81.53850340136054</v>
      </c>
      <c r="K60" s="165">
        <v>5154.13</v>
      </c>
      <c r="L60" s="165">
        <f t="shared" si="20"/>
        <v>838.9499999999998</v>
      </c>
      <c r="M60" s="218">
        <f t="shared" si="21"/>
        <v>1.1627723786555635</v>
      </c>
      <c r="N60" s="157">
        <f>E60-серпень!E60</f>
        <v>340</v>
      </c>
      <c r="O60" s="160">
        <f>F60-серпень!F60</f>
        <v>115.75</v>
      </c>
      <c r="P60" s="161">
        <f t="shared" si="17"/>
        <v>-224.25</v>
      </c>
      <c r="Q60" s="165">
        <f t="shared" si="22"/>
        <v>0.34044117647058825</v>
      </c>
      <c r="R60" s="37">
        <v>500</v>
      </c>
      <c r="S60" s="37" t="e">
        <f>#N/A</f>
        <v>#N/A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E61-серпень!E61</f>
        <v>0</v>
      </c>
      <c r="O61" s="160">
        <f>F61-серпень!F61</f>
        <v>0</v>
      </c>
      <c r="P61" s="161">
        <f t="shared" si="17"/>
        <v>0</v>
      </c>
      <c r="Q61" s="165" t="e">
        <f t="shared" si="22"/>
        <v>#DIV/0!</v>
      </c>
      <c r="R61" s="37"/>
      <c r="S61" s="37" t="e">
        <f>#N/A</f>
        <v>#N/A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1437.41</v>
      </c>
      <c r="G62" s="150">
        <f t="shared" si="16"/>
        <v>1437.41</v>
      </c>
      <c r="H62" s="164">
        <f t="shared" si="18"/>
        <v>1437.41</v>
      </c>
      <c r="I62" s="165">
        <f t="shared" si="19"/>
        <v>1437.41</v>
      </c>
      <c r="J62" s="165"/>
      <c r="K62" s="166">
        <v>1002.97</v>
      </c>
      <c r="L62" s="165">
        <f t="shared" si="20"/>
        <v>434.44000000000005</v>
      </c>
      <c r="M62" s="218">
        <f t="shared" si="21"/>
        <v>1.4331535340040082</v>
      </c>
      <c r="N62" s="157">
        <f>E62-серпень!E62</f>
        <v>0</v>
      </c>
      <c r="O62" s="160">
        <f>F62-серпень!F62</f>
        <v>31.060000000000173</v>
      </c>
      <c r="P62" s="161">
        <f t="shared" si="17"/>
        <v>31.060000000000173</v>
      </c>
      <c r="Q62" s="165"/>
      <c r="R62" s="37"/>
      <c r="S62" s="37" t="e">
        <f>#N/A</f>
        <v>#N/A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E63-серпень!E63</f>
        <v>0</v>
      </c>
      <c r="O63" s="160">
        <f>F63-серпень!F63</f>
        <v>0</v>
      </c>
      <c r="P63" s="161">
        <f t="shared" si="17"/>
        <v>0</v>
      </c>
      <c r="Q63" s="165" t="e">
        <f t="shared" si="22"/>
        <v>#DIV/0!</v>
      </c>
      <c r="R63" s="37"/>
      <c r="S63" s="37" t="e">
        <f>#N/A</f>
        <v>#N/A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16"/>
        <v>-29.86</v>
      </c>
      <c r="H64" s="164">
        <f t="shared" si="18"/>
        <v>-29.86</v>
      </c>
      <c r="I64" s="165">
        <f t="shared" si="19"/>
        <v>-99.86</v>
      </c>
      <c r="J64" s="165">
        <f t="shared" si="23"/>
        <v>37.5875</v>
      </c>
      <c r="K64" s="165">
        <v>158.93</v>
      </c>
      <c r="L64" s="165">
        <f t="shared" si="20"/>
        <v>-98.79</v>
      </c>
      <c r="M64" s="218">
        <f t="shared" si="21"/>
        <v>0.37840558736550683</v>
      </c>
      <c r="N64" s="157">
        <f>E64-серпень!E64</f>
        <v>10</v>
      </c>
      <c r="O64" s="160">
        <f>F64-серпень!F64</f>
        <v>0</v>
      </c>
      <c r="P64" s="161">
        <f t="shared" si="17"/>
        <v>-10</v>
      </c>
      <c r="Q64" s="165">
        <f t="shared" si="22"/>
        <v>0</v>
      </c>
      <c r="R64" s="37">
        <v>0</v>
      </c>
      <c r="S64" s="37" t="e">
        <f>#N/A</f>
        <v>#N/A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31.16</v>
      </c>
      <c r="G65" s="150">
        <f t="shared" si="16"/>
        <v>19.86</v>
      </c>
      <c r="H65" s="164">
        <f t="shared" si="18"/>
        <v>19.86</v>
      </c>
      <c r="I65" s="165">
        <f t="shared" si="19"/>
        <v>16.16</v>
      </c>
      <c r="J65" s="165">
        <f t="shared" si="23"/>
        <v>207.73333333333332</v>
      </c>
      <c r="K65" s="165">
        <v>13.52</v>
      </c>
      <c r="L65" s="165">
        <f t="shared" si="20"/>
        <v>17.64</v>
      </c>
      <c r="M65" s="218">
        <f t="shared" si="21"/>
        <v>2.304733727810651</v>
      </c>
      <c r="N65" s="157">
        <f>E65-серпень!E65</f>
        <v>1.1999999999999993</v>
      </c>
      <c r="O65" s="160">
        <f>F65-серпень!F65</f>
        <v>0.21000000000000085</v>
      </c>
      <c r="P65" s="161">
        <f t="shared" si="17"/>
        <v>-0.9899999999999984</v>
      </c>
      <c r="Q65" s="165">
        <f t="shared" si="22"/>
        <v>0.17500000000000082</v>
      </c>
      <c r="R65" s="37">
        <v>3.2</v>
      </c>
      <c r="S65" s="37" t="e">
        <f>#N/A</f>
        <v>#N/A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1.02</v>
      </c>
      <c r="L66" s="165">
        <f t="shared" si="20"/>
        <v>-6.1899999999999995</v>
      </c>
      <c r="M66" s="218">
        <f t="shared" si="21"/>
        <v>-5.068627450980392</v>
      </c>
      <c r="N66" s="157">
        <f>E66-серпень!E66</f>
        <v>0</v>
      </c>
      <c r="O66" s="160">
        <f>F66-серпень!F66</f>
        <v>0</v>
      </c>
      <c r="P66" s="161">
        <f t="shared" si="17"/>
        <v>0</v>
      </c>
      <c r="Q66" s="165"/>
      <c r="R66" s="37">
        <v>0</v>
      </c>
      <c r="S66" s="37" t="e">
        <f>#N/A</f>
        <v>#N/A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904211.43</v>
      </c>
      <c r="G67" s="151">
        <f>F67-E67</f>
        <v>-87979.77000000002</v>
      </c>
      <c r="H67" s="152">
        <f>F67/E67*100</f>
        <v>91.13278065759906</v>
      </c>
      <c r="I67" s="153">
        <f>F67-D67</f>
        <v>-453279.67000000004</v>
      </c>
      <c r="J67" s="153">
        <f>F67/D67*100</f>
        <v>66.60901349555809</v>
      </c>
      <c r="K67" s="151">
        <v>757500.07</v>
      </c>
      <c r="L67" s="153">
        <f>F67-K67</f>
        <v>146711.3600000001</v>
      </c>
      <c r="M67" s="219">
        <f>F67/K67</f>
        <v>1.193678345138635</v>
      </c>
      <c r="N67" s="151">
        <f>N8+N41+N65+N66</f>
        <v>105792.39999999997</v>
      </c>
      <c r="O67" s="151">
        <f>O8+O41+O65+O66</f>
        <v>18697.269999999924</v>
      </c>
      <c r="P67" s="194">
        <f>O67-N67</f>
        <v>-87095.13000000003</v>
      </c>
      <c r="Q67" s="153">
        <f>O67/N67*100</f>
        <v>17.6735474381902</v>
      </c>
      <c r="R67" s="27">
        <f>R8+R41+R65+R66</f>
        <v>108115.7</v>
      </c>
      <c r="S67" s="280">
        <f>O67-R67</f>
        <v>-89418.43000000008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E73-серпень!E73</f>
        <v>0</v>
      </c>
      <c r="O73" s="160">
        <f>F73-серпень!F73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-3.8200000000000003</v>
      </c>
      <c r="L74" s="187">
        <f aca="true" t="shared" si="24" ref="L74:L86">F74-K74</f>
        <v>1.19</v>
      </c>
      <c r="M74" s="214">
        <f aca="true" t="shared" si="25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6" ref="G75:G86">F75-E75</f>
        <v>35.57</v>
      </c>
      <c r="H75" s="186"/>
      <c r="I75" s="187">
        <f>F75-D75</f>
        <v>35.57</v>
      </c>
      <c r="J75" s="187"/>
      <c r="K75" s="187">
        <v>0</v>
      </c>
      <c r="L75" s="187">
        <f t="shared" si="24"/>
        <v>35.57</v>
      </c>
      <c r="M75" s="209"/>
      <c r="N75" s="186">
        <f>E75-серпень!E75</f>
        <v>0</v>
      </c>
      <c r="O75" s="289">
        <f>F75-червень!F75</f>
        <v>0</v>
      </c>
      <c r="P75" s="187">
        <f aca="true" t="shared" si="27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26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>
        <v>1553.95</v>
      </c>
      <c r="L76" s="167">
        <f t="shared" si="24"/>
        <v>-1550.14</v>
      </c>
      <c r="M76" s="209">
        <f t="shared" si="25"/>
        <v>0.0024518163390070467</v>
      </c>
      <c r="N76" s="157">
        <f>E76-серпень!E76</f>
        <v>21500</v>
      </c>
      <c r="O76" s="160">
        <f>F76-серпень!F76</f>
        <v>0</v>
      </c>
      <c r="P76" s="167">
        <f t="shared" si="27"/>
        <v>-21500</v>
      </c>
      <c r="Q76" s="167">
        <f>O76/N76*100</f>
        <v>0</v>
      </c>
      <c r="R76" s="38">
        <v>0</v>
      </c>
      <c r="S76" s="38" t="e">
        <f>#N/A</f>
        <v>#N/A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5970.15</v>
      </c>
      <c r="G77" s="162">
        <f t="shared" si="26"/>
        <v>-20459.85</v>
      </c>
      <c r="H77" s="164">
        <f>F77/E77*100</f>
        <v>22.58853575482406</v>
      </c>
      <c r="I77" s="167">
        <f aca="true" t="shared" si="28" ref="I77:I86">F77-D77</f>
        <v>-48029.85</v>
      </c>
      <c r="J77" s="167">
        <f>F77/D77*100</f>
        <v>11.055833333333332</v>
      </c>
      <c r="K77" s="167">
        <v>6903.45</v>
      </c>
      <c r="L77" s="167">
        <f t="shared" si="24"/>
        <v>-933.3000000000002</v>
      </c>
      <c r="M77" s="209">
        <f t="shared" si="25"/>
        <v>0.864806727071247</v>
      </c>
      <c r="N77" s="157">
        <f>E77-серпень!E77</f>
        <v>3600</v>
      </c>
      <c r="O77" s="160">
        <f>F77-серпень!F77</f>
        <v>0</v>
      </c>
      <c r="P77" s="167">
        <f t="shared" si="27"/>
        <v>-3600</v>
      </c>
      <c r="Q77" s="167">
        <f>O77/N77*100</f>
        <v>0</v>
      </c>
      <c r="R77" s="38">
        <v>200</v>
      </c>
      <c r="S77" s="38" t="e">
        <f>#N/A</f>
        <v>#N/A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8452.48</v>
      </c>
      <c r="G78" s="162">
        <f t="shared" si="26"/>
        <v>-19297.52</v>
      </c>
      <c r="H78" s="164">
        <f>F78/E78*100</f>
        <v>30.459387387387387</v>
      </c>
      <c r="I78" s="167">
        <f t="shared" si="28"/>
        <v>-70547.52</v>
      </c>
      <c r="J78" s="167">
        <f>F78/D78*100</f>
        <v>10.699341772151898</v>
      </c>
      <c r="K78" s="167">
        <v>12116.42</v>
      </c>
      <c r="L78" s="167">
        <f t="shared" si="24"/>
        <v>-3663.9400000000005</v>
      </c>
      <c r="M78" s="209">
        <f t="shared" si="25"/>
        <v>0.6976053982942155</v>
      </c>
      <c r="N78" s="157">
        <f>E78-серпень!E78</f>
        <v>3850</v>
      </c>
      <c r="O78" s="160">
        <f>F78-серпень!F78</f>
        <v>418.5599999999995</v>
      </c>
      <c r="P78" s="167">
        <f t="shared" si="27"/>
        <v>-3431.4400000000005</v>
      </c>
      <c r="Q78" s="167">
        <f>O78/N78*100</f>
        <v>10.871688311688299</v>
      </c>
      <c r="R78" s="38">
        <v>1500</v>
      </c>
      <c r="S78" s="38" t="e">
        <f>#N/A</f>
        <v>#N/A</v>
      </c>
    </row>
    <row r="79" spans="2:19" ht="18">
      <c r="B79" s="23" t="s">
        <v>101</v>
      </c>
      <c r="C79" s="73">
        <v>24110700</v>
      </c>
      <c r="D79" s="180">
        <v>12</v>
      </c>
      <c r="E79" s="180">
        <v>9</v>
      </c>
      <c r="F79" s="181">
        <v>9</v>
      </c>
      <c r="G79" s="162">
        <f t="shared" si="26"/>
        <v>0</v>
      </c>
      <c r="H79" s="164">
        <f>F79/E79*100</f>
        <v>100</v>
      </c>
      <c r="I79" s="167">
        <f t="shared" si="28"/>
        <v>-3</v>
      </c>
      <c r="J79" s="167">
        <f>F79/D79*100</f>
        <v>75</v>
      </c>
      <c r="K79" s="167">
        <v>10</v>
      </c>
      <c r="L79" s="167">
        <f t="shared" si="24"/>
        <v>-1</v>
      </c>
      <c r="M79" s="209">
        <f t="shared" si="25"/>
        <v>0.9</v>
      </c>
      <c r="N79" s="157">
        <f>E79-серпень!E79</f>
        <v>1</v>
      </c>
      <c r="O79" s="160">
        <f>F79-серпень!F79</f>
        <v>0</v>
      </c>
      <c r="P79" s="167">
        <f t="shared" si="27"/>
        <v>-1</v>
      </c>
      <c r="Q79" s="167">
        <f>O79/N79*100</f>
        <v>0</v>
      </c>
      <c r="R79" s="38">
        <v>1</v>
      </c>
      <c r="S79" s="38" t="e">
        <f>#N/A</f>
        <v>#N/A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14435.439999999999</v>
      </c>
      <c r="G80" s="185">
        <f t="shared" si="26"/>
        <v>-79253.56</v>
      </c>
      <c r="H80" s="186">
        <f>F80/E80*100</f>
        <v>15.407828026769415</v>
      </c>
      <c r="I80" s="187">
        <f t="shared" si="28"/>
        <v>-222782.59</v>
      </c>
      <c r="J80" s="187">
        <f>F80/D80*100</f>
        <v>6.0853047299988114</v>
      </c>
      <c r="K80" s="187">
        <v>20583.82</v>
      </c>
      <c r="L80" s="167">
        <f t="shared" si="24"/>
        <v>-6148.380000000001</v>
      </c>
      <c r="M80" s="209">
        <f t="shared" si="25"/>
        <v>0.7013003417247138</v>
      </c>
      <c r="N80" s="185">
        <f>N76+N77+N78+N79</f>
        <v>28951</v>
      </c>
      <c r="O80" s="189">
        <f>O76+O77+O78+O79</f>
        <v>418.5599999999995</v>
      </c>
      <c r="P80" s="187">
        <f t="shared" si="27"/>
        <v>-28532.440000000002</v>
      </c>
      <c r="Q80" s="187">
        <f>O80/N80*100</f>
        <v>1.4457531691478687</v>
      </c>
      <c r="R80" s="39">
        <f>SUM(R76:R79)</f>
        <v>1701</v>
      </c>
      <c r="S80" s="39" t="e">
        <f>#N/A</f>
        <v>#N/A</v>
      </c>
    </row>
    <row r="81" spans="2:19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6"/>
        <v>19.14</v>
      </c>
      <c r="H81" s="164"/>
      <c r="I81" s="167">
        <f t="shared" si="28"/>
        <v>-1.8599999999999994</v>
      </c>
      <c r="J81" s="167"/>
      <c r="K81" s="167">
        <v>35.78</v>
      </c>
      <c r="L81" s="167">
        <f t="shared" si="24"/>
        <v>2.3599999999999994</v>
      </c>
      <c r="M81" s="209">
        <f t="shared" si="25"/>
        <v>1.0659586361095583</v>
      </c>
      <c r="N81" s="157">
        <f>E81-серпень!E81</f>
        <v>15</v>
      </c>
      <c r="O81" s="160">
        <f>F81-серпень!F81</f>
        <v>0</v>
      </c>
      <c r="P81" s="167">
        <f t="shared" si="27"/>
        <v>-15</v>
      </c>
      <c r="Q81" s="167"/>
      <c r="R81" s="38">
        <v>1</v>
      </c>
      <c r="S81" s="38" t="e">
        <f>#N/A</f>
        <v>#N/A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6"/>
        <v>0</v>
      </c>
      <c r="H82" s="164"/>
      <c r="I82" s="167">
        <f t="shared" si="28"/>
        <v>0</v>
      </c>
      <c r="J82" s="190"/>
      <c r="K82" s="167">
        <v>0</v>
      </c>
      <c r="L82" s="167">
        <f t="shared" si="24"/>
        <v>0</v>
      </c>
      <c r="M82" s="209" t="e">
        <f t="shared" si="25"/>
        <v>#DIV/0!</v>
      </c>
      <c r="N82" s="157">
        <f>E82-серпень!E82</f>
        <v>0</v>
      </c>
      <c r="O82" s="160">
        <f>F82-серпень!F82</f>
        <v>0</v>
      </c>
      <c r="P82" s="167">
        <f t="shared" si="27"/>
        <v>0</v>
      </c>
      <c r="Q82" s="190"/>
      <c r="R82" s="41"/>
      <c r="S82" s="38" t="e">
        <f>#N/A</f>
        <v>#N/A</v>
      </c>
    </row>
    <row r="83" spans="2:19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6573.77</v>
      </c>
      <c r="G83" s="162">
        <f t="shared" si="26"/>
        <v>180.07000000000062</v>
      </c>
      <c r="H83" s="164">
        <f>F83/E83*100</f>
        <v>102.81636611038994</v>
      </c>
      <c r="I83" s="167">
        <f t="shared" si="28"/>
        <v>-1786.2299999999996</v>
      </c>
      <c r="J83" s="167">
        <f>F83/D83*100</f>
        <v>78.63361244019138</v>
      </c>
      <c r="K83" s="167">
        <v>6825.67</v>
      </c>
      <c r="L83" s="167">
        <f t="shared" si="24"/>
        <v>-251.89999999999964</v>
      </c>
      <c r="M83" s="209">
        <f t="shared" si="25"/>
        <v>0.9630951979805646</v>
      </c>
      <c r="N83" s="157">
        <f>E83-серпень!E83</f>
        <v>0.4999999999990905</v>
      </c>
      <c r="O83" s="160">
        <f>F83-серпень!F83</f>
        <v>0.010000000000218279</v>
      </c>
      <c r="P83" s="167">
        <f t="shared" si="27"/>
        <v>-0.4899999999988722</v>
      </c>
      <c r="Q83" s="167">
        <f>O83/N83*100</f>
        <v>2.0000000000472937</v>
      </c>
      <c r="R83" s="41">
        <v>2850</v>
      </c>
      <c r="S83" s="288" t="e">
        <f>#N/A</f>
        <v>#N/A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6"/>
        <v>0.08</v>
      </c>
      <c r="H84" s="164"/>
      <c r="I84" s="167">
        <f t="shared" si="28"/>
        <v>0.08</v>
      </c>
      <c r="J84" s="167"/>
      <c r="K84" s="167">
        <v>1.22</v>
      </c>
      <c r="L84" s="167">
        <f t="shared" si="24"/>
        <v>-1.14</v>
      </c>
      <c r="M84" s="209">
        <f t="shared" si="25"/>
        <v>0.06557377049180328</v>
      </c>
      <c r="N84" s="157">
        <f>E84-серпень!E84</f>
        <v>0</v>
      </c>
      <c r="O84" s="160">
        <f>F84-серпень!F84</f>
        <v>0</v>
      </c>
      <c r="P84" s="167">
        <f t="shared" si="27"/>
        <v>0</v>
      </c>
      <c r="Q84" s="190"/>
      <c r="R84" s="38">
        <v>0</v>
      </c>
      <c r="S84" s="38" t="e">
        <f>#N/A</f>
        <v>#N/A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6611.990000000001</v>
      </c>
      <c r="G85" s="185">
        <f t="shared" si="26"/>
        <v>199.29000000000087</v>
      </c>
      <c r="H85" s="186">
        <f>F85/E85*100</f>
        <v>103.10773932976751</v>
      </c>
      <c r="I85" s="187">
        <f t="shared" si="28"/>
        <v>-1788.0099999999993</v>
      </c>
      <c r="J85" s="187">
        <f>F85/D85*100</f>
        <v>78.71416666666667</v>
      </c>
      <c r="K85" s="187">
        <v>6862.67</v>
      </c>
      <c r="L85" s="167">
        <f t="shared" si="24"/>
        <v>-250.67999999999938</v>
      </c>
      <c r="M85" s="209">
        <f t="shared" si="25"/>
        <v>0.963471943135835</v>
      </c>
      <c r="N85" s="185">
        <f>N81+N84+N82+N83</f>
        <v>15.49999999999909</v>
      </c>
      <c r="O85" s="189">
        <f>O81+O84+O82+O83</f>
        <v>0.010000000000218279</v>
      </c>
      <c r="P85" s="187">
        <f t="shared" si="27"/>
        <v>-15.489999999998872</v>
      </c>
      <c r="Q85" s="187">
        <f>O85/N85*100</f>
        <v>0.0645161290336701</v>
      </c>
      <c r="R85" s="39">
        <f>SUM(R81:R84)</f>
        <v>2851</v>
      </c>
      <c r="S85" s="39" t="e">
        <f>#N/A</f>
        <v>#N/A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17.65</v>
      </c>
      <c r="G86" s="162">
        <f t="shared" si="26"/>
        <v>-16.050000000000004</v>
      </c>
      <c r="H86" s="164">
        <f>F86/E86*100</f>
        <v>52.373887240356076</v>
      </c>
      <c r="I86" s="167">
        <f t="shared" si="28"/>
        <v>-20.35</v>
      </c>
      <c r="J86" s="167">
        <f>F86/D86*100</f>
        <v>46.44736842105262</v>
      </c>
      <c r="K86" s="187">
        <v>26.87</v>
      </c>
      <c r="L86" s="167">
        <f t="shared" si="24"/>
        <v>-9.220000000000002</v>
      </c>
      <c r="M86" s="209">
        <f t="shared" si="25"/>
        <v>0.6568663937476739</v>
      </c>
      <c r="N86" s="157">
        <f>E86-серпень!E86</f>
        <v>7.300000000000001</v>
      </c>
      <c r="O86" s="160">
        <f>F86-серпень!F86</f>
        <v>0</v>
      </c>
      <c r="P86" s="167">
        <f t="shared" si="27"/>
        <v>-7.300000000000001</v>
      </c>
      <c r="Q86" s="167">
        <f>O86/N86*100</f>
        <v>0</v>
      </c>
      <c r="R86" s="38">
        <v>1.2</v>
      </c>
      <c r="S86" s="38" t="e">
        <f>#N/A</f>
        <v>#N/A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>
        <v>18.76</v>
      </c>
      <c r="L87" s="187" t="e">
        <f>#N/A</f>
        <v>#N/A</v>
      </c>
      <c r="M87" s="209">
        <f t="shared" si="25"/>
        <v>0</v>
      </c>
      <c r="N87" s="164">
        <f>E87-квітень!E87</f>
        <v>0</v>
      </c>
      <c r="O87" s="168">
        <f>F87-квітень!F87</f>
        <v>0</v>
      </c>
      <c r="P87" s="167" t="e">
        <f>#N/A</f>
        <v>#N/A</v>
      </c>
      <c r="Q87" s="167"/>
      <c r="R87" s="38">
        <v>0</v>
      </c>
      <c r="S87" s="38" t="e">
        <f>#N/A</f>
        <v>#N/A</v>
      </c>
    </row>
    <row r="88" spans="2:19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21098.02</v>
      </c>
      <c r="G88" s="309">
        <f>F88-E88</f>
        <v>-79037.37999999999</v>
      </c>
      <c r="H88" s="310">
        <f>F88/E88*100</f>
        <v>21.06949190795663</v>
      </c>
      <c r="I88" s="301">
        <f>F88-D88</f>
        <v>-224558.01</v>
      </c>
      <c r="J88" s="301">
        <f>F88/D88*100</f>
        <v>8.588439697572252</v>
      </c>
      <c r="K88" s="308">
        <v>27469.53</v>
      </c>
      <c r="L88" s="301">
        <f>F88-K88</f>
        <v>-6371.509999999998</v>
      </c>
      <c r="M88" s="302">
        <f t="shared" si="25"/>
        <v>0.7680517285880029</v>
      </c>
      <c r="N88" s="308">
        <f>N74+N75+N80+N85+N86</f>
        <v>28973.8</v>
      </c>
      <c r="O88" s="308">
        <f>O74+O75+O80+O85+O86</f>
        <v>418.5699999999997</v>
      </c>
      <c r="P88" s="301">
        <f>O88-N88</f>
        <v>-28555.23</v>
      </c>
      <c r="Q88" s="301">
        <f>O88/N88*100</f>
        <v>1.4446499941326292</v>
      </c>
      <c r="R88" s="27">
        <f>R80+R85+R86+R87</f>
        <v>4553.2</v>
      </c>
      <c r="S88" s="27" t="e">
        <f>S80+S85+S86+S87</f>
        <v>#N/A</v>
      </c>
    </row>
    <row r="89" spans="2:19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925309.4500000001</v>
      </c>
      <c r="G89" s="309">
        <f>F89-E89</f>
        <v>-167017.15000000002</v>
      </c>
      <c r="H89" s="310">
        <f>F89/E89*100</f>
        <v>84.709962203612</v>
      </c>
      <c r="I89" s="301">
        <f>F89-D89</f>
        <v>-677837.68</v>
      </c>
      <c r="J89" s="301">
        <f>F89/D89*100</f>
        <v>57.71831123198281</v>
      </c>
      <c r="K89" s="301">
        <f>K67+K88</f>
        <v>784969.6</v>
      </c>
      <c r="L89" s="301">
        <f>L67+L88</f>
        <v>140339.8500000001</v>
      </c>
      <c r="M89" s="302">
        <f t="shared" si="25"/>
        <v>1.1787838025829283</v>
      </c>
      <c r="N89" s="309">
        <f>N67+N88</f>
        <v>134766.19999999995</v>
      </c>
      <c r="O89" s="309">
        <f>O67+O88</f>
        <v>19115.839999999924</v>
      </c>
      <c r="P89" s="301">
        <f>O89-N89</f>
        <v>-115650.36000000003</v>
      </c>
      <c r="Q89" s="301">
        <f>O89/N89*100</f>
        <v>14.184446842012264</v>
      </c>
      <c r="R89" s="27">
        <f>R67+R88</f>
        <v>112668.9</v>
      </c>
      <c r="S89" s="27" t="e">
        <f>S67+S88</f>
        <v>#N/A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17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5123.242941176472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42984</v>
      </c>
      <c r="D93" s="29">
        <v>7328.4</v>
      </c>
      <c r="G93" s="4" t="s">
        <v>58</v>
      </c>
      <c r="O93" s="316"/>
      <c r="P93" s="316"/>
    </row>
    <row r="94" spans="3:16" ht="15">
      <c r="C94" s="81">
        <v>42983</v>
      </c>
      <c r="D94" s="29">
        <v>3827.5</v>
      </c>
      <c r="G94" s="312"/>
      <c r="H94" s="312"/>
      <c r="I94" s="118"/>
      <c r="J94" s="295"/>
      <c r="K94" s="295"/>
      <c r="L94" s="295"/>
      <c r="M94" s="295"/>
      <c r="N94" s="295"/>
      <c r="O94" s="316"/>
      <c r="P94" s="316"/>
    </row>
    <row r="95" spans="3:16" ht="15.75" customHeight="1">
      <c r="C95" s="81">
        <v>42982</v>
      </c>
      <c r="D95" s="29">
        <v>2503.4</v>
      </c>
      <c r="F95" s="68"/>
      <c r="G95" s="312"/>
      <c r="H95" s="312"/>
      <c r="I95" s="118"/>
      <c r="J95" s="296"/>
      <c r="K95" s="296"/>
      <c r="L95" s="296"/>
      <c r="M95" s="296"/>
      <c r="N95" s="296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295"/>
      <c r="K96" s="295"/>
      <c r="L96" s="295"/>
      <c r="M96" s="295"/>
      <c r="N96" s="295"/>
    </row>
    <row r="97" spans="2:14" ht="18" customHeight="1">
      <c r="B97" s="318" t="s">
        <v>56</v>
      </c>
      <c r="C97" s="319"/>
      <c r="D97" s="133">
        <v>0</v>
      </c>
      <c r="E97" s="69"/>
      <c r="F97" s="125" t="s">
        <v>107</v>
      </c>
      <c r="G97" s="312"/>
      <c r="H97" s="312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1262.43</v>
      </c>
      <c r="G100" s="68">
        <f>G48+G51+G52</f>
        <v>370.43000000000006</v>
      </c>
      <c r="H100" s="69"/>
      <c r="I100" s="69"/>
      <c r="N100" s="29">
        <f>N48+N51+N52</f>
        <v>86</v>
      </c>
      <c r="O100" s="202">
        <f>O48+O51+O52</f>
        <v>41.64000000000004</v>
      </c>
      <c r="P100" s="29">
        <f>P48+P51+P52</f>
        <v>-44.35999999999996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856851.6000000001</v>
      </c>
      <c r="G102" s="29">
        <f>F102-E102</f>
        <v>-90273.79999999993</v>
      </c>
      <c r="H102" s="230">
        <f>F102/E102</f>
        <v>0.9046865388680317</v>
      </c>
      <c r="I102" s="29">
        <f>F102-D102</f>
        <v>-442197</v>
      </c>
      <c r="J102" s="230">
        <f>F102/D102</f>
        <v>0.6595993406251314</v>
      </c>
      <c r="N102" s="29">
        <f>N9+N15+N17+N18+N19+N23+N42+N45+N65+N59</f>
        <v>100821.59999999996</v>
      </c>
      <c r="O102" s="229">
        <f>O9+O15+O17+O18+O19+O23+O42+O45+O65+O59</f>
        <v>15174.769999999924</v>
      </c>
      <c r="P102" s="29">
        <f>O102-N102</f>
        <v>-85646.83000000005</v>
      </c>
      <c r="Q102" s="230">
        <f>O102/N102</f>
        <v>0.1505111007958605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47335.96000000001</v>
      </c>
      <c r="G103" s="29">
        <f>G43+G44+G46+G48+G50+G51+G52+G53+G54+G60+G64+G47</f>
        <v>2275.3299999999986</v>
      </c>
      <c r="H103" s="230">
        <f>F103/E103</f>
        <v>1.0503743415184021</v>
      </c>
      <c r="I103" s="29">
        <f>I43+I44+I46+I48+I50+I51+I52+I53+I54+I60+I64+I47</f>
        <v>-11101.370000000003</v>
      </c>
      <c r="J103" s="230">
        <f>F103/D103</f>
        <v>0.809957821790649</v>
      </c>
      <c r="K103" s="29">
        <f>K43+K44+K46+K48+K50+K51+K52+K53+K54+K60+K64+K47</f>
        <v>49023.450000000004</v>
      </c>
      <c r="L103" s="29">
        <f>L43+L44+L46+L48+L50+L51+L52+L53+L54+L60+L64+L47</f>
        <v>-1682.3200000000022</v>
      </c>
      <c r="M103" s="29">
        <f>M43+M44+M46+M48+M50+M51+M52+M53+M54+M60+M64+M47</f>
        <v>19.573796041238744</v>
      </c>
      <c r="N103" s="29">
        <f>N43+N44+N46+N48+N50+N51+N52+N53+N54+N60+N64+N47+N66</f>
        <v>4970.8</v>
      </c>
      <c r="O103" s="229">
        <f>O43+O44+O46+O48+O50+O51+O52+O53+O54+O60+O64+O47+O66</f>
        <v>3522.499999999999</v>
      </c>
      <c r="P103" s="29">
        <f>P43+P44+P46+P48+P50+P51+P52+P53+P54+P60+P64+P47</f>
        <v>-1448.3000000000006</v>
      </c>
      <c r="Q103" s="230">
        <f>O103/N103</f>
        <v>0.7086384485394703</v>
      </c>
    </row>
    <row r="104" spans="2:17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9" t="e">
        <f>#N/A</f>
        <v>#N/A</v>
      </c>
      <c r="L104" s="29" t="e">
        <f>#N/A</f>
        <v>#N/A</v>
      </c>
      <c r="M104" s="29" t="e">
        <f>#N/A</f>
        <v>#N/A</v>
      </c>
      <c r="N104" s="29" t="e">
        <f>#N/A</f>
        <v>#N/A</v>
      </c>
      <c r="O104" s="229" t="e">
        <f>#N/A</f>
        <v>#N/A</v>
      </c>
      <c r="P104" s="29" t="e">
        <f>#N/A</f>
        <v>#N/A</v>
      </c>
      <c r="Q104" s="230" t="e">
        <f>O104/N104</f>
        <v>#N/A</v>
      </c>
    </row>
    <row r="105" spans="4:19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9" t="e">
        <f>K67-K104</f>
        <v>#N/A</v>
      </c>
      <c r="L105" s="29" t="e">
        <f>#N/A</f>
        <v>#N/A</v>
      </c>
      <c r="M105" s="29" t="e">
        <f>#N/A</f>
        <v>#N/A</v>
      </c>
      <c r="N105" s="29" t="e">
        <f>#N/A</f>
        <v>#N/A</v>
      </c>
      <c r="O105" s="29" t="e">
        <f>#N/A</f>
        <v>#N/A</v>
      </c>
      <c r="P105" s="29" t="e">
        <f>#N/A</f>
        <v>#N/A</v>
      </c>
      <c r="Q105" s="29"/>
      <c r="R105" s="29" t="e">
        <f>#N/A</f>
        <v>#N/A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41352.34</v>
      </c>
      <c r="G111" s="192">
        <f>F111-E111</f>
        <v>-76885.12</v>
      </c>
      <c r="H111" s="193">
        <f>F111/E111*100</f>
        <v>34.97397525285134</v>
      </c>
      <c r="I111" s="194">
        <f>F111-D111</f>
        <v>-276711.91000000003</v>
      </c>
      <c r="J111" s="194">
        <f>F111/D111*100</f>
        <v>13.001253677519555</v>
      </c>
      <c r="K111" s="194">
        <v>3039.87</v>
      </c>
      <c r="L111" s="194">
        <f>F111-K111</f>
        <v>38312.469999999994</v>
      </c>
      <c r="M111" s="269">
        <f>F111/K111</f>
        <v>13.60332514219358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945563.77</v>
      </c>
      <c r="G112" s="192">
        <f>F112-E112</f>
        <v>-164864.89000000013</v>
      </c>
      <c r="H112" s="193">
        <f>F112/E112*100</f>
        <v>85.15304080858287</v>
      </c>
      <c r="I112" s="194">
        <f>F112-D112</f>
        <v>-729991.5800000001</v>
      </c>
      <c r="J112" s="194">
        <f>F112/D112*100</f>
        <v>56.43285791782407</v>
      </c>
      <c r="K112" s="194">
        <f>K89+K111</f>
        <v>788009.47</v>
      </c>
      <c r="L112" s="194">
        <f>F112-K112</f>
        <v>157554.30000000005</v>
      </c>
      <c r="M112" s="269">
        <f>F112/K112</f>
        <v>1.1999396022486888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Q113" s="89"/>
    </row>
    <row r="114" spans="2:17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Q123" s="89"/>
    </row>
    <row r="124" spans="2:17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G97:H97"/>
    <mergeCell ref="P4:P5"/>
    <mergeCell ref="Q4:Q5"/>
    <mergeCell ref="K5:M5"/>
    <mergeCell ref="R5:S5"/>
    <mergeCell ref="G92:J92"/>
    <mergeCell ref="O93:P93"/>
    <mergeCell ref="G98:H98"/>
    <mergeCell ref="B99:C99"/>
    <mergeCell ref="G99:H99"/>
    <mergeCell ref="O101:P101"/>
    <mergeCell ref="G94:H94"/>
    <mergeCell ref="O94:P94"/>
    <mergeCell ref="G95:H95"/>
    <mergeCell ref="O95:P95"/>
    <mergeCell ref="G96:H96"/>
    <mergeCell ref="B97:C97"/>
  </mergeCells>
  <printOptions/>
  <pageMargins left="0.31496062992125984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Z5" sqref="Z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35" t="s">
        <v>132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7"/>
      <c r="B3" s="339"/>
      <c r="C3" s="340" t="s">
        <v>0</v>
      </c>
      <c r="D3" s="341" t="s">
        <v>126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129</v>
      </c>
      <c r="O3" s="346" t="s">
        <v>125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127</v>
      </c>
      <c r="F4" s="329" t="s">
        <v>33</v>
      </c>
      <c r="G4" s="320" t="s">
        <v>128</v>
      </c>
      <c r="H4" s="331" t="s">
        <v>122</v>
      </c>
      <c r="I4" s="320" t="s">
        <v>103</v>
      </c>
      <c r="J4" s="331" t="s">
        <v>104</v>
      </c>
      <c r="K4" s="85" t="s">
        <v>114</v>
      </c>
      <c r="L4" s="204" t="s">
        <v>113</v>
      </c>
      <c r="M4" s="90" t="s">
        <v>63</v>
      </c>
      <c r="N4" s="331"/>
      <c r="O4" s="333" t="s">
        <v>133</v>
      </c>
      <c r="P4" s="320" t="s">
        <v>49</v>
      </c>
      <c r="Q4" s="322" t="s">
        <v>48</v>
      </c>
      <c r="R4" s="91" t="s">
        <v>64</v>
      </c>
      <c r="S4" s="92" t="s">
        <v>63</v>
      </c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130</v>
      </c>
      <c r="L5" s="324"/>
      <c r="M5" s="325"/>
      <c r="N5" s="332"/>
      <c r="O5" s="334"/>
      <c r="P5" s="321"/>
      <c r="Q5" s="322"/>
      <c r="R5" s="323" t="s">
        <v>102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28"/>
      <c r="H89" s="328"/>
      <c r="I89" s="328"/>
      <c r="J89" s="328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16"/>
      <c r="P90" s="316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12"/>
      <c r="H91" s="312"/>
      <c r="I91" s="118"/>
      <c r="J91" s="349"/>
      <c r="K91" s="349"/>
      <c r="L91" s="349"/>
      <c r="M91" s="349"/>
      <c r="N91" s="349"/>
      <c r="O91" s="316"/>
      <c r="P91" s="316"/>
    </row>
    <row r="92" spans="3:16" ht="15.75" customHeight="1">
      <c r="C92" s="81">
        <v>42732</v>
      </c>
      <c r="D92" s="29">
        <v>19085.6</v>
      </c>
      <c r="F92" s="68"/>
      <c r="G92" s="312"/>
      <c r="H92" s="312"/>
      <c r="I92" s="118"/>
      <c r="J92" s="350"/>
      <c r="K92" s="350"/>
      <c r="L92" s="350"/>
      <c r="M92" s="350"/>
      <c r="N92" s="350"/>
      <c r="O92" s="316"/>
      <c r="P92" s="316"/>
    </row>
    <row r="93" spans="3:14" ht="15.75" customHeight="1">
      <c r="C93" s="81"/>
      <c r="F93" s="68"/>
      <c r="G93" s="317"/>
      <c r="H93" s="317"/>
      <c r="I93" s="124"/>
      <c r="J93" s="349"/>
      <c r="K93" s="349"/>
      <c r="L93" s="349"/>
      <c r="M93" s="349"/>
      <c r="N93" s="349"/>
    </row>
    <row r="94" spans="2:14" ht="18.75" customHeight="1">
      <c r="B94" s="318" t="s">
        <v>56</v>
      </c>
      <c r="C94" s="319"/>
      <c r="D94" s="133">
        <f>'[1]залишки  (2)'!$G$6/1000</f>
        <v>0</v>
      </c>
      <c r="E94" s="69"/>
      <c r="F94" s="125" t="s">
        <v>107</v>
      </c>
      <c r="G94" s="312"/>
      <c r="H94" s="312"/>
      <c r="I94" s="126"/>
      <c r="J94" s="349"/>
      <c r="K94" s="349"/>
      <c r="L94" s="349"/>
      <c r="M94" s="349"/>
      <c r="N94" s="349"/>
    </row>
    <row r="95" spans="6:13" ht="9" customHeight="1">
      <c r="F95" s="68"/>
      <c r="G95" s="312"/>
      <c r="H95" s="312"/>
      <c r="I95" s="68"/>
      <c r="J95" s="69"/>
      <c r="K95" s="69"/>
      <c r="L95" s="69"/>
      <c r="M95" s="69"/>
    </row>
    <row r="96" spans="2:13" ht="22.5" customHeight="1" hidden="1">
      <c r="B96" s="313" t="s">
        <v>59</v>
      </c>
      <c r="C96" s="314"/>
      <c r="D96" s="80">
        <v>0</v>
      </c>
      <c r="E96" s="51" t="s">
        <v>24</v>
      </c>
      <c r="F96" s="68"/>
      <c r="G96" s="312"/>
      <c r="H96" s="312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15"/>
      <c r="P98" s="315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5" t="s">
        <v>233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230</v>
      </c>
      <c r="O3" s="346" t="s">
        <v>235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227</v>
      </c>
      <c r="F4" s="329" t="s">
        <v>33</v>
      </c>
      <c r="G4" s="320" t="s">
        <v>228</v>
      </c>
      <c r="H4" s="331" t="s">
        <v>229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234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231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1406.35</v>
      </c>
      <c r="G62" s="253">
        <f t="shared" si="16"/>
        <v>1406.35</v>
      </c>
      <c r="H62" s="195">
        <f t="shared" si="18"/>
        <v>1406.35</v>
      </c>
      <c r="I62" s="254">
        <f t="shared" si="19"/>
        <v>1406.35</v>
      </c>
      <c r="J62" s="165"/>
      <c r="K62" s="166">
        <v>889.8</v>
      </c>
      <c r="L62" s="254">
        <f t="shared" si="20"/>
        <v>516.55</v>
      </c>
      <c r="M62" s="305">
        <f t="shared" si="21"/>
        <v>1.5805237131939762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F75-червень!F75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16"/>
      <c r="P93" s="316"/>
    </row>
    <row r="94" spans="3:16" ht="15">
      <c r="C94" s="81">
        <v>42977</v>
      </c>
      <c r="D94" s="29">
        <v>9672.2</v>
      </c>
      <c r="G94" s="312"/>
      <c r="H94" s="312"/>
      <c r="I94" s="118"/>
      <c r="J94" s="295"/>
      <c r="K94" s="295"/>
      <c r="L94" s="295"/>
      <c r="M94" s="295"/>
      <c r="N94" s="295"/>
      <c r="O94" s="316"/>
      <c r="P94" s="316"/>
    </row>
    <row r="95" spans="3:16" ht="15.75" customHeight="1">
      <c r="C95" s="81">
        <v>42976</v>
      </c>
      <c r="D95" s="29">
        <v>5224.7</v>
      </c>
      <c r="F95" s="68"/>
      <c r="G95" s="312"/>
      <c r="H95" s="312"/>
      <c r="I95" s="118"/>
      <c r="J95" s="296"/>
      <c r="K95" s="296"/>
      <c r="L95" s="296"/>
      <c r="M95" s="296"/>
      <c r="N95" s="296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295"/>
      <c r="K96" s="295"/>
      <c r="L96" s="295"/>
      <c r="M96" s="295"/>
      <c r="N96" s="295"/>
    </row>
    <row r="97" spans="2:14" ht="18" customHeight="1">
      <c r="B97" s="318" t="s">
        <v>56</v>
      </c>
      <c r="C97" s="319"/>
      <c r="D97" s="133">
        <f>'[1]залишки  (2)'!$G$6/1000</f>
        <v>0</v>
      </c>
      <c r="E97" s="69"/>
      <c r="F97" s="125" t="s">
        <v>107</v>
      </c>
      <c r="G97" s="312"/>
      <c r="H97" s="312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5" t="s">
        <v>232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218</v>
      </c>
      <c r="O3" s="346" t="s">
        <v>220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219</v>
      </c>
      <c r="F4" s="329" t="s">
        <v>33</v>
      </c>
      <c r="G4" s="320" t="s">
        <v>221</v>
      </c>
      <c r="H4" s="331" t="s">
        <v>222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226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225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1234.58</v>
      </c>
      <c r="G62" s="162">
        <f t="shared" si="12"/>
        <v>1234.58</v>
      </c>
      <c r="H62" s="164" t="e">
        <f t="shared" si="13"/>
        <v>#DIV/0!</v>
      </c>
      <c r="I62" s="165">
        <f t="shared" si="14"/>
        <v>1234.58</v>
      </c>
      <c r="J62" s="165" t="e">
        <f t="shared" si="15"/>
        <v>#DIV/0!</v>
      </c>
      <c r="K62" s="166">
        <v>731.46</v>
      </c>
      <c r="L62" s="165">
        <f t="shared" si="16"/>
        <v>503.1199999999999</v>
      </c>
      <c r="M62" s="218">
        <f t="shared" si="17"/>
        <v>1.6878298198124297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16"/>
      <c r="P93" s="316"/>
    </row>
    <row r="94" spans="3:16" ht="15">
      <c r="C94" s="81">
        <v>42944</v>
      </c>
      <c r="D94" s="29">
        <v>13586.1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42943</v>
      </c>
      <c r="D95" s="29">
        <v>6106.3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f>'[1]залишки  (2)'!$G$6/1000</f>
        <v>0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10" sqref="N10:N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35" t="s">
        <v>216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212</v>
      </c>
      <c r="O3" s="346" t="s">
        <v>213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209</v>
      </c>
      <c r="F4" s="329" t="s">
        <v>33</v>
      </c>
      <c r="G4" s="320" t="s">
        <v>210</v>
      </c>
      <c r="H4" s="331" t="s">
        <v>211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217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214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16"/>
      <c r="P93" s="316"/>
    </row>
    <row r="94" spans="3:16" ht="15" hidden="1">
      <c r="C94" s="81">
        <v>42913</v>
      </c>
      <c r="D94" s="29">
        <v>9872.9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 hidden="1">
      <c r="C95" s="81">
        <v>42912</v>
      </c>
      <c r="D95" s="29">
        <v>4876.1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 hidden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 hidden="1">
      <c r="B97" s="318" t="s">
        <v>56</v>
      </c>
      <c r="C97" s="319"/>
      <c r="D97" s="133">
        <v>225.52589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41" sqref="O4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35" t="s">
        <v>207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  <c r="T1" s="86"/>
      <c r="U1" s="87"/>
    </row>
    <row r="2" spans="2:21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201</v>
      </c>
      <c r="O3" s="346" t="s">
        <v>202</v>
      </c>
      <c r="P3" s="346"/>
      <c r="Q3" s="346"/>
      <c r="R3" s="346"/>
      <c r="S3" s="346"/>
      <c r="T3" s="346"/>
      <c r="U3" s="346"/>
    </row>
    <row r="4" spans="1:21" ht="22.5" customHeight="1">
      <c r="A4" s="337"/>
      <c r="B4" s="339"/>
      <c r="C4" s="340"/>
      <c r="D4" s="341"/>
      <c r="E4" s="347" t="s">
        <v>198</v>
      </c>
      <c r="F4" s="329" t="s">
        <v>33</v>
      </c>
      <c r="G4" s="320" t="s">
        <v>199</v>
      </c>
      <c r="H4" s="331" t="s">
        <v>200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208</v>
      </c>
      <c r="P4" s="320" t="s">
        <v>49</v>
      </c>
      <c r="Q4" s="32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204</v>
      </c>
      <c r="L5" s="324"/>
      <c r="M5" s="325"/>
      <c r="N5" s="332"/>
      <c r="O5" s="334"/>
      <c r="P5" s="321"/>
      <c r="Q5" s="322"/>
      <c r="R5" s="326" t="s">
        <v>203</v>
      </c>
      <c r="S5" s="327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16"/>
      <c r="P93" s="316"/>
    </row>
    <row r="94" spans="3:16" ht="15">
      <c r="C94" s="81">
        <v>42885</v>
      </c>
      <c r="D94" s="29">
        <v>10664.9</v>
      </c>
      <c r="F94" s="113" t="s">
        <v>58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42884</v>
      </c>
      <c r="D95" s="29">
        <v>6919.44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v>1135.71022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35" t="s">
        <v>196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  <c r="T1" s="86"/>
      <c r="U1" s="87"/>
    </row>
    <row r="2" spans="2:21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191</v>
      </c>
      <c r="O3" s="346" t="s">
        <v>190</v>
      </c>
      <c r="P3" s="346"/>
      <c r="Q3" s="346"/>
      <c r="R3" s="346"/>
      <c r="S3" s="346"/>
      <c r="T3" s="346"/>
      <c r="U3" s="346"/>
    </row>
    <row r="4" spans="1:21" ht="22.5" customHeight="1">
      <c r="A4" s="337"/>
      <c r="B4" s="339"/>
      <c r="C4" s="340"/>
      <c r="D4" s="341"/>
      <c r="E4" s="347" t="s">
        <v>187</v>
      </c>
      <c r="F4" s="329" t="s">
        <v>33</v>
      </c>
      <c r="G4" s="320" t="s">
        <v>188</v>
      </c>
      <c r="H4" s="331" t="s">
        <v>189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197</v>
      </c>
      <c r="P4" s="320" t="s">
        <v>49</v>
      </c>
      <c r="Q4" s="32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192</v>
      </c>
      <c r="L5" s="324"/>
      <c r="M5" s="325"/>
      <c r="N5" s="332"/>
      <c r="O5" s="334"/>
      <c r="P5" s="321"/>
      <c r="Q5" s="322"/>
      <c r="R5" s="326" t="s">
        <v>193</v>
      </c>
      <c r="S5" s="327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16"/>
      <c r="P93" s="316"/>
    </row>
    <row r="94" spans="3:16" ht="15">
      <c r="C94" s="81">
        <v>42852</v>
      </c>
      <c r="D94" s="29">
        <v>13266.8</v>
      </c>
      <c r="F94" s="113" t="s">
        <v>58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42851</v>
      </c>
      <c r="D95" s="29">
        <v>6064.2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v>102.57358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35" t="s">
        <v>185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  <c r="T1" s="246"/>
      <c r="U1" s="249"/>
      <c r="V1" s="259"/>
      <c r="W1" s="259"/>
    </row>
    <row r="2" spans="2:23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163</v>
      </c>
      <c r="O3" s="346" t="s">
        <v>164</v>
      </c>
      <c r="P3" s="346"/>
      <c r="Q3" s="346"/>
      <c r="R3" s="346"/>
      <c r="S3" s="346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37"/>
      <c r="B4" s="339"/>
      <c r="C4" s="340"/>
      <c r="D4" s="341"/>
      <c r="E4" s="347" t="s">
        <v>153</v>
      </c>
      <c r="F4" s="329" t="s">
        <v>33</v>
      </c>
      <c r="G4" s="320" t="s">
        <v>162</v>
      </c>
      <c r="H4" s="331" t="s">
        <v>176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186</v>
      </c>
      <c r="P4" s="320" t="s">
        <v>49</v>
      </c>
      <c r="Q4" s="322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169</v>
      </c>
      <c r="L5" s="324"/>
      <c r="M5" s="325"/>
      <c r="N5" s="332"/>
      <c r="O5" s="334"/>
      <c r="P5" s="321"/>
      <c r="Q5" s="322"/>
      <c r="R5" s="323" t="s">
        <v>102</v>
      </c>
      <c r="S5" s="325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16"/>
      <c r="P93" s="316"/>
    </row>
    <row r="94" spans="3:16" ht="15">
      <c r="C94" s="81">
        <v>42824</v>
      </c>
      <c r="D94" s="29">
        <v>11112.7</v>
      </c>
      <c r="F94" s="113" t="s">
        <v>58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42823</v>
      </c>
      <c r="D95" s="29">
        <v>8830.3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v>1399.2856000000002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35" t="s">
        <v>151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144</v>
      </c>
      <c r="O3" s="346" t="s">
        <v>148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149</v>
      </c>
      <c r="F4" s="329" t="s">
        <v>33</v>
      </c>
      <c r="G4" s="320" t="s">
        <v>145</v>
      </c>
      <c r="H4" s="331" t="s">
        <v>146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152</v>
      </c>
      <c r="P4" s="320" t="s">
        <v>49</v>
      </c>
      <c r="Q4" s="322" t="s">
        <v>48</v>
      </c>
      <c r="R4" s="91" t="s">
        <v>64</v>
      </c>
      <c r="S4" s="92" t="s">
        <v>63</v>
      </c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147</v>
      </c>
      <c r="L5" s="324"/>
      <c r="M5" s="325"/>
      <c r="N5" s="332"/>
      <c r="O5" s="334"/>
      <c r="P5" s="321"/>
      <c r="Q5" s="322"/>
      <c r="R5" s="323" t="s">
        <v>102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28"/>
      <c r="H89" s="328"/>
      <c r="I89" s="328"/>
      <c r="J89" s="328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16"/>
      <c r="P90" s="316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12"/>
      <c r="H91" s="312"/>
      <c r="I91" s="118"/>
      <c r="J91" s="349"/>
      <c r="K91" s="349"/>
      <c r="L91" s="349"/>
      <c r="M91" s="349"/>
      <c r="N91" s="349"/>
      <c r="O91" s="316"/>
      <c r="P91" s="316"/>
    </row>
    <row r="92" spans="3:16" ht="15.75" customHeight="1">
      <c r="C92" s="81">
        <v>42790</v>
      </c>
      <c r="D92" s="29">
        <v>4206.9</v>
      </c>
      <c r="F92" s="68"/>
      <c r="G92" s="312"/>
      <c r="H92" s="312"/>
      <c r="I92" s="118"/>
      <c r="J92" s="350"/>
      <c r="K92" s="350"/>
      <c r="L92" s="350"/>
      <c r="M92" s="350"/>
      <c r="N92" s="350"/>
      <c r="O92" s="316"/>
      <c r="P92" s="316"/>
    </row>
    <row r="93" spans="3:14" ht="15.75" customHeight="1">
      <c r="C93" s="81"/>
      <c r="F93" s="68"/>
      <c r="G93" s="317"/>
      <c r="H93" s="317"/>
      <c r="I93" s="124"/>
      <c r="J93" s="349"/>
      <c r="K93" s="349"/>
      <c r="L93" s="349"/>
      <c r="M93" s="349"/>
      <c r="N93" s="349"/>
    </row>
    <row r="94" spans="2:14" ht="18.75" customHeight="1">
      <c r="B94" s="318" t="s">
        <v>56</v>
      </c>
      <c r="C94" s="319"/>
      <c r="D94" s="133">
        <v>7713.34596</v>
      </c>
      <c r="E94" s="69"/>
      <c r="F94" s="125" t="s">
        <v>107</v>
      </c>
      <c r="G94" s="312"/>
      <c r="H94" s="312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12"/>
      <c r="H95" s="312"/>
      <c r="I95" s="68"/>
      <c r="J95" s="69"/>
      <c r="K95" s="69"/>
      <c r="L95" s="69"/>
      <c r="M95" s="69"/>
    </row>
    <row r="96" spans="2:13" ht="22.5" customHeight="1" hidden="1">
      <c r="B96" s="313" t="s">
        <v>59</v>
      </c>
      <c r="C96" s="314"/>
      <c r="D96" s="80">
        <v>0</v>
      </c>
      <c r="E96" s="51" t="s">
        <v>24</v>
      </c>
      <c r="F96" s="68"/>
      <c r="G96" s="312"/>
      <c r="H96" s="31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15"/>
      <c r="P98" s="31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35" t="s">
        <v>143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7"/>
      <c r="B3" s="339"/>
      <c r="C3" s="340" t="s">
        <v>0</v>
      </c>
      <c r="D3" s="341" t="s">
        <v>134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123</v>
      </c>
      <c r="O3" s="346" t="s">
        <v>118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135</v>
      </c>
      <c r="F4" s="329" t="s">
        <v>33</v>
      </c>
      <c r="G4" s="320" t="s">
        <v>136</v>
      </c>
      <c r="H4" s="331" t="s">
        <v>137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124</v>
      </c>
      <c r="P4" s="320" t="s">
        <v>49</v>
      </c>
      <c r="Q4" s="322" t="s">
        <v>48</v>
      </c>
      <c r="R4" s="91" t="s">
        <v>64</v>
      </c>
      <c r="S4" s="92" t="s">
        <v>63</v>
      </c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142</v>
      </c>
      <c r="L5" s="324"/>
      <c r="M5" s="325"/>
      <c r="N5" s="332"/>
      <c r="O5" s="334"/>
      <c r="P5" s="321"/>
      <c r="Q5" s="322"/>
      <c r="R5" s="323" t="s">
        <v>102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28"/>
      <c r="H89" s="328"/>
      <c r="I89" s="328"/>
      <c r="J89" s="328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16"/>
      <c r="P90" s="316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12"/>
      <c r="H91" s="312"/>
      <c r="I91" s="118"/>
      <c r="J91" s="349"/>
      <c r="K91" s="349"/>
      <c r="L91" s="349"/>
      <c r="M91" s="349"/>
      <c r="N91" s="349"/>
      <c r="O91" s="316"/>
      <c r="P91" s="316"/>
    </row>
    <row r="92" spans="3:16" ht="15.75" customHeight="1">
      <c r="C92" s="81">
        <v>42762</v>
      </c>
      <c r="D92" s="29">
        <v>8862.4</v>
      </c>
      <c r="F92" s="68"/>
      <c r="G92" s="312"/>
      <c r="H92" s="312"/>
      <c r="I92" s="118"/>
      <c r="J92" s="350"/>
      <c r="K92" s="350"/>
      <c r="L92" s="350"/>
      <c r="M92" s="350"/>
      <c r="N92" s="350"/>
      <c r="O92" s="316"/>
      <c r="P92" s="316"/>
    </row>
    <row r="93" spans="3:14" ht="15.75" customHeight="1">
      <c r="C93" s="81"/>
      <c r="F93" s="68"/>
      <c r="G93" s="317"/>
      <c r="H93" s="317"/>
      <c r="I93" s="124"/>
      <c r="J93" s="349"/>
      <c r="K93" s="349"/>
      <c r="L93" s="349"/>
      <c r="M93" s="349"/>
      <c r="N93" s="349"/>
    </row>
    <row r="94" spans="2:14" ht="18.75" customHeight="1">
      <c r="B94" s="318" t="s">
        <v>56</v>
      </c>
      <c r="C94" s="319"/>
      <c r="D94" s="133">
        <f>9505303.41/1000</f>
        <v>9505.30341</v>
      </c>
      <c r="E94" s="69"/>
      <c r="F94" s="125" t="s">
        <v>107</v>
      </c>
      <c r="G94" s="312"/>
      <c r="H94" s="312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12"/>
      <c r="H95" s="312"/>
      <c r="I95" s="68"/>
      <c r="J95" s="69"/>
      <c r="K95" s="69"/>
      <c r="L95" s="69"/>
      <c r="M95" s="69"/>
    </row>
    <row r="96" spans="2:13" ht="22.5" customHeight="1" hidden="1">
      <c r="B96" s="313" t="s">
        <v>59</v>
      </c>
      <c r="C96" s="314"/>
      <c r="D96" s="80">
        <v>0</v>
      </c>
      <c r="E96" s="51" t="s">
        <v>24</v>
      </c>
      <c r="F96" s="68"/>
      <c r="G96" s="312"/>
      <c r="H96" s="31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15"/>
      <c r="P98" s="31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2017-09-07T12:30:08Z</cp:lastPrinted>
  <dcterms:created xsi:type="dcterms:W3CDTF">2003-07-28T11:27:56Z</dcterms:created>
  <dcterms:modified xsi:type="dcterms:W3CDTF">2017-09-07T12:41:14Z</dcterms:modified>
  <cp:category/>
  <cp:version/>
  <cp:contentType/>
  <cp:contentStatus/>
</cp:coreProperties>
</file>